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OCS_QUALITE\Supports enregistrements\"/>
    </mc:Choice>
  </mc:AlternateContent>
  <xr:revisionPtr revIDLastSave="0" documentId="8_{EBAAF65C-ED43-4C04-A3BC-9FF1329AA198}" xr6:coauthVersionLast="47" xr6:coauthVersionMax="47" xr10:uidLastSave="{00000000-0000-0000-0000-000000000000}"/>
  <bookViews>
    <workbookView xWindow="-108" yWindow="-108" windowWidth="23256" windowHeight="12576" tabRatio="685" activeTab="2" xr2:uid="{00000000-000D-0000-FFFF-FFFF00000000}"/>
  </bookViews>
  <sheets>
    <sheet name="Mode d'emploi" sheetId="5" r:id="rId1"/>
    <sheet name="menu déroulant" sheetId="40" r:id="rId2"/>
    <sheet name="Fournisseur A" sheetId="19" r:id="rId3"/>
    <sheet name="Fournisseur B" sheetId="42" r:id="rId4"/>
    <sheet name="Comparaison" sheetId="6" r:id="rId5"/>
  </sheets>
  <definedNames>
    <definedName name="_xlnm._FilterDatabase" localSheetId="4" hidden="1">Comparaison!#REF!</definedName>
    <definedName name="Adresses">Comparaison!$I$6:$J$10</definedName>
    <definedName name="Classe">Comparaison!#REF!</definedName>
    <definedName name="Fournisseur">Comparaison!$I$6:$I$10</definedName>
    <definedName name="GRAV">'Mode d''emploi'!#REF!</definedName>
    <definedName name="Importance">'Mode d''emploi'!#REF!</definedName>
    <definedName name="poids">'Mode d''emploi'!#REF!</definedName>
    <definedName name="PROB">'Mode d''emploi'!#REF!</definedName>
    <definedName name="STATUT">Comparaison!$E$31:$E$35</definedName>
    <definedName name="_xlnm.Print_Area" localSheetId="4">Comparaison!$A$1:$G$32</definedName>
    <definedName name="_xlnm.Print_Area" localSheetId="0">'Mode d''emploi'!$A$1:$E$79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9" l="1"/>
  <c r="H48" i="19"/>
  <c r="H47" i="19"/>
  <c r="H46" i="19"/>
  <c r="H39" i="19"/>
  <c r="H40" i="19"/>
  <c r="N40" i="42" l="1"/>
  <c r="I6" i="6"/>
  <c r="I7" i="6"/>
  <c r="J7" i="6"/>
  <c r="K6" i="6"/>
  <c r="J58" i="42"/>
  <c r="F58" i="42"/>
  <c r="N58" i="42" s="1"/>
  <c r="J57" i="42"/>
  <c r="F57" i="42"/>
  <c r="N57" i="42" s="1"/>
  <c r="J56" i="42"/>
  <c r="F56" i="42"/>
  <c r="N56" i="42" s="1"/>
  <c r="J55" i="42"/>
  <c r="F55" i="42"/>
  <c r="N55" i="42" s="1"/>
  <c r="P55" i="42" s="1"/>
  <c r="Q55" i="42" s="1"/>
  <c r="C17" i="42" s="1"/>
  <c r="D17" i="42" s="1"/>
  <c r="N54" i="42"/>
  <c r="P52" i="42" s="1"/>
  <c r="Q52" i="42" s="1"/>
  <c r="C16" i="42" s="1"/>
  <c r="D16" i="42" s="1"/>
  <c r="J54" i="42"/>
  <c r="H54" i="42"/>
  <c r="F54" i="42"/>
  <c r="N53" i="42"/>
  <c r="J53" i="42"/>
  <c r="F53" i="42"/>
  <c r="J52" i="42"/>
  <c r="N52" i="42" s="1"/>
  <c r="F52" i="42"/>
  <c r="N51" i="42"/>
  <c r="J51" i="42"/>
  <c r="F51" i="42"/>
  <c r="J50" i="42"/>
  <c r="N50" i="42" s="1"/>
  <c r="P50" i="42" s="1"/>
  <c r="Q50" i="42" s="1"/>
  <c r="C15" i="42" s="1"/>
  <c r="D15" i="42" s="1"/>
  <c r="F50" i="42"/>
  <c r="N49" i="42"/>
  <c r="J49" i="42"/>
  <c r="H49" i="42"/>
  <c r="F49" i="42"/>
  <c r="N48" i="42"/>
  <c r="J48" i="42"/>
  <c r="H48" i="42"/>
  <c r="F48" i="42"/>
  <c r="N47" i="42"/>
  <c r="J47" i="42"/>
  <c r="H47" i="42"/>
  <c r="F47" i="42"/>
  <c r="N46" i="42"/>
  <c r="P46" i="42" s="1"/>
  <c r="Q46" i="42" s="1"/>
  <c r="C14" i="42" s="1"/>
  <c r="D14" i="42" s="1"/>
  <c r="J46" i="42"/>
  <c r="H46" i="42"/>
  <c r="F46" i="42"/>
  <c r="J45" i="42"/>
  <c r="F45" i="42"/>
  <c r="N45" i="42" s="1"/>
  <c r="J44" i="42"/>
  <c r="N44" i="42" s="1"/>
  <c r="F44" i="42"/>
  <c r="N43" i="42"/>
  <c r="J43" i="42"/>
  <c r="F43" i="42"/>
  <c r="J42" i="42"/>
  <c r="F42" i="42"/>
  <c r="N42" i="42" s="1"/>
  <c r="N41" i="42"/>
  <c r="J41" i="42"/>
  <c r="F41" i="42"/>
  <c r="J40" i="42"/>
  <c r="H40" i="42"/>
  <c r="F40" i="42"/>
  <c r="J39" i="42"/>
  <c r="H39" i="42"/>
  <c r="N39" i="42" s="1"/>
  <c r="F39" i="42"/>
  <c r="J38" i="42"/>
  <c r="H38" i="42"/>
  <c r="F38" i="42"/>
  <c r="N38" i="42" s="1"/>
  <c r="P38" i="42" s="1"/>
  <c r="Q38" i="42" s="1"/>
  <c r="C12" i="42" s="1"/>
  <c r="J37" i="42"/>
  <c r="F37" i="42"/>
  <c r="J36" i="42"/>
  <c r="G36" i="42"/>
  <c r="F36" i="42"/>
  <c r="N36" i="42" s="1"/>
  <c r="J35" i="42"/>
  <c r="F35" i="42"/>
  <c r="J34" i="42"/>
  <c r="G34" i="42"/>
  <c r="F34" i="42"/>
  <c r="N34" i="42" s="1"/>
  <c r="J33" i="42"/>
  <c r="F33" i="42"/>
  <c r="J32" i="42"/>
  <c r="F32" i="42"/>
  <c r="J31" i="42"/>
  <c r="F31" i="42"/>
  <c r="J30" i="42"/>
  <c r="F30" i="42"/>
  <c r="G28" i="42"/>
  <c r="G37" i="42" s="1"/>
  <c r="N37" i="42" s="1"/>
  <c r="G27" i="42"/>
  <c r="G26" i="42"/>
  <c r="G35" i="42" s="1"/>
  <c r="N35" i="42" s="1"/>
  <c r="G25" i="42"/>
  <c r="G24" i="42"/>
  <c r="G33" i="42" s="1"/>
  <c r="N33" i="42" s="1"/>
  <c r="G22" i="42"/>
  <c r="G32" i="42" s="1"/>
  <c r="G21" i="42"/>
  <c r="G30" i="42" s="1"/>
  <c r="N30" i="42" s="1"/>
  <c r="G20" i="42"/>
  <c r="C8" i="42"/>
  <c r="A4" i="42"/>
  <c r="N32" i="42" l="1"/>
  <c r="P41" i="42"/>
  <c r="Q41" i="42" s="1"/>
  <c r="C13" i="42" s="1"/>
  <c r="D13" i="42" s="1"/>
  <c r="P30" i="42"/>
  <c r="Q30" i="42" s="1"/>
  <c r="C11" i="42" s="1"/>
  <c r="C10" i="42" s="1"/>
  <c r="G31" i="42"/>
  <c r="N31" i="42" s="1"/>
  <c r="N40" i="19"/>
  <c r="F40" i="19"/>
  <c r="J40" i="19"/>
  <c r="H54" i="19"/>
  <c r="N54" i="19" s="1"/>
  <c r="J54" i="19"/>
  <c r="H38" i="19"/>
  <c r="J39" i="19" l="1"/>
  <c r="J38" i="19"/>
  <c r="F39" i="19"/>
  <c r="N39" i="19" s="1"/>
  <c r="F38" i="19"/>
  <c r="N38" i="19" s="1"/>
  <c r="J30" i="19" l="1"/>
  <c r="F30" i="19"/>
  <c r="F54" i="19"/>
  <c r="G21" i="19" l="1"/>
  <c r="G30" i="19" s="1"/>
  <c r="G20" i="19"/>
  <c r="N30" i="19" l="1"/>
  <c r="P38" i="19"/>
  <c r="Q38" i="19" s="1"/>
  <c r="C12" i="19" s="1"/>
  <c r="K9" i="6"/>
  <c r="J11" i="6"/>
  <c r="J10" i="6"/>
  <c r="J9" i="6"/>
  <c r="J8" i="6"/>
  <c r="I11" i="6"/>
  <c r="I10" i="6"/>
  <c r="I9" i="6"/>
  <c r="I8" i="6"/>
  <c r="J6" i="6"/>
  <c r="K10" i="6" l="1"/>
  <c r="K8" i="6"/>
  <c r="K11" i="6"/>
  <c r="J51" i="19"/>
  <c r="J53" i="19"/>
  <c r="F53" i="19"/>
  <c r="J36" i="19"/>
  <c r="F36" i="19"/>
  <c r="G27" i="19"/>
  <c r="G36" i="19" s="1"/>
  <c r="N53" i="19" l="1"/>
  <c r="N36" i="19"/>
  <c r="A4" i="19"/>
  <c r="G31" i="19" l="1"/>
  <c r="J50" i="19" l="1"/>
  <c r="J52" i="19"/>
  <c r="F50" i="19"/>
  <c r="F51" i="19"/>
  <c r="F52" i="19"/>
  <c r="N51" i="19" l="1"/>
  <c r="N52" i="19"/>
  <c r="P52" i="19" s="1"/>
  <c r="N50" i="19"/>
  <c r="Q52" i="19" l="1"/>
  <c r="C16" i="19" s="1"/>
  <c r="D16" i="19" s="1"/>
  <c r="P50" i="19"/>
  <c r="Q50" i="19" s="1"/>
  <c r="C15" i="19" s="1"/>
  <c r="D15" i="19" s="1"/>
  <c r="J58" i="19" l="1"/>
  <c r="F58" i="19"/>
  <c r="J49" i="19"/>
  <c r="J48" i="19"/>
  <c r="J47" i="19"/>
  <c r="J46" i="19"/>
  <c r="F49" i="19"/>
  <c r="F48" i="19"/>
  <c r="F47" i="19"/>
  <c r="F46" i="19"/>
  <c r="G22" i="19"/>
  <c r="J57" i="19"/>
  <c r="J56" i="19"/>
  <c r="J55" i="19"/>
  <c r="J35" i="19"/>
  <c r="J34" i="19"/>
  <c r="J33" i="19"/>
  <c r="J32" i="19"/>
  <c r="J31" i="19"/>
  <c r="J37" i="19"/>
  <c r="F35" i="19"/>
  <c r="F34" i="19"/>
  <c r="F33" i="19"/>
  <c r="F32" i="19"/>
  <c r="F31" i="19"/>
  <c r="F37" i="19"/>
  <c r="G28" i="19"/>
  <c r="G37" i="19" s="1"/>
  <c r="G26" i="19"/>
  <c r="G35" i="19" s="1"/>
  <c r="G25" i="19"/>
  <c r="G34" i="19" s="1"/>
  <c r="G24" i="19"/>
  <c r="G33" i="19" s="1"/>
  <c r="F57" i="19"/>
  <c r="F56" i="19"/>
  <c r="F55" i="19"/>
  <c r="J43" i="19"/>
  <c r="J42" i="19"/>
  <c r="J44" i="19"/>
  <c r="J45" i="19"/>
  <c r="J41" i="19"/>
  <c r="F42" i="19"/>
  <c r="F43" i="19"/>
  <c r="F44" i="19"/>
  <c r="F45" i="19"/>
  <c r="F41" i="19"/>
  <c r="F1" i="6"/>
  <c r="D1" i="5"/>
  <c r="N47" i="19" l="1"/>
  <c r="C8" i="19"/>
  <c r="G32" i="19"/>
  <c r="N32" i="19" s="1"/>
  <c r="N49" i="19"/>
  <c r="N46" i="19"/>
  <c r="N48" i="19"/>
  <c r="N57" i="19"/>
  <c r="N56" i="19"/>
  <c r="N43" i="19"/>
  <c r="N44" i="19"/>
  <c r="N41" i="19"/>
  <c r="N42" i="19"/>
  <c r="N55" i="19"/>
  <c r="N58" i="19"/>
  <c r="N45" i="19"/>
  <c r="N31" i="19"/>
  <c r="N35" i="19"/>
  <c r="N37" i="19"/>
  <c r="N33" i="19"/>
  <c r="N34" i="19"/>
  <c r="P30" i="19" l="1"/>
  <c r="Q30" i="19" s="1"/>
  <c r="C11" i="19" s="1"/>
  <c r="P46" i="19"/>
  <c r="Q46" i="19" s="1"/>
  <c r="C14" i="19" s="1"/>
  <c r="D14" i="19" s="1"/>
  <c r="P41" i="19"/>
  <c r="Q41" i="19" s="1"/>
  <c r="C13" i="19" s="1"/>
  <c r="D13" i="19" s="1"/>
  <c r="P55" i="19"/>
  <c r="Q55" i="19" s="1"/>
  <c r="C17" i="19" s="1"/>
  <c r="D17" i="19" s="1"/>
  <c r="C10" i="19" l="1"/>
  <c r="K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Romain Cornu</author>
  </authors>
  <commentList>
    <comment ref="C5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Aide à la notation:</t>
        </r>
        <r>
          <rPr>
            <sz val="9"/>
            <color indexed="81"/>
            <rFont val="Tahoma"/>
            <family val="2"/>
          </rPr>
          <t xml:space="preserve">
Objectif : Vision de la charge du frn sur le long terme
Pour les fabricants : 
1/ Prendre l'info du PIC : 
Voir information fournisseur. Si inexistant - 100%
2/ Prendre l'info du PDP : CA entrée / CA sortie. 
Si &lt;1 =&gt; situation bonne, 10%
Si =1 =&gt; situation à surveiller, 50%
Si &gt;1 =&gt; situation critique, 100%
Pour les distributeurs : 
Voir le risque d'allocation - tension des délais fabricants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Romain Cornu</author>
  </authors>
  <commentList>
    <comment ref="C53" authorId="0" shapeId="0" xr:uid="{C3470670-8D76-4995-B0BC-50860558D10A}">
      <text>
        <r>
          <rPr>
            <b/>
            <sz val="9"/>
            <color indexed="81"/>
            <rFont val="Tahoma"/>
            <family val="2"/>
          </rPr>
          <t>Aide à la notation:</t>
        </r>
        <r>
          <rPr>
            <sz val="9"/>
            <color indexed="81"/>
            <rFont val="Tahoma"/>
            <family val="2"/>
          </rPr>
          <t xml:space="preserve">
Objectif : Vision de la charge du frn sur le long terme
Pour les fabricants : 
1/ Prendre l'info du PIC : 
Voir information fournisseur. Si inexistant - 100%
2/ Prendre l'info du PDP : CA entrée / CA sortie. 
Si &lt;1 =&gt; situation bonne, 10%
Si =1 =&gt; situation à surveiller, 50%
Si &gt;1 =&gt; situation critique, 100%
Pour les distributeurs : 
Voir le risque d'allocation - tension des délais fabricants</t>
        </r>
      </text>
    </comment>
  </commentList>
</comments>
</file>

<file path=xl/sharedStrings.xml><?xml version="1.0" encoding="utf-8"?>
<sst xmlns="http://schemas.openxmlformats.org/spreadsheetml/2006/main" count="382" uniqueCount="153">
  <si>
    <t xml:space="preserve">Critère d'évaluation </t>
  </si>
  <si>
    <t>Taux de criticité normé (%)</t>
  </si>
  <si>
    <t xml:space="preserve">Gravité </t>
  </si>
  <si>
    <t>GRAVITE</t>
  </si>
  <si>
    <t>Non approuvé</t>
  </si>
  <si>
    <t>Fournisseur</t>
  </si>
  <si>
    <t>Légende</t>
  </si>
  <si>
    <t>Statut</t>
  </si>
  <si>
    <t>Région</t>
  </si>
  <si>
    <t xml:space="preserve">Adresse &amp; contact </t>
  </si>
  <si>
    <t>Récapitulatif des évaluations (zone de travail non imprimée)</t>
  </si>
  <si>
    <t>Interlocuteur :</t>
  </si>
  <si>
    <t>Themes abordés</t>
  </si>
  <si>
    <t>Nom Prenom</t>
  </si>
  <si>
    <t>TRONICO</t>
  </si>
  <si>
    <t>Pré-analyse</t>
  </si>
  <si>
    <t>CA potentiel chez le fournisseur</t>
  </si>
  <si>
    <t>Projet client impacté (runner, repeater ou stranger)</t>
  </si>
  <si>
    <t>Risque potentiel sur la qualité sur la pièce achetée (lié à la technologie)</t>
  </si>
  <si>
    <t>Certification du fournisseur si exigence marché</t>
  </si>
  <si>
    <t xml:space="preserve">Localisation géographique </t>
  </si>
  <si>
    <t>Nombre d’articles à attribuer</t>
  </si>
  <si>
    <t>Commentaires</t>
  </si>
  <si>
    <t>Occurrence</t>
  </si>
  <si>
    <t>Détectabilité</t>
  </si>
  <si>
    <t>Note</t>
  </si>
  <si>
    <t>Critère</t>
  </si>
  <si>
    <t>DETECTABILITE</t>
  </si>
  <si>
    <t>Thème à gravité modérée</t>
  </si>
  <si>
    <t>Thème Majeur</t>
  </si>
  <si>
    <t>Thème Mineur</t>
  </si>
  <si>
    <t>A l'enregistrement de la commande</t>
  </si>
  <si>
    <t>A la fabrication</t>
  </si>
  <si>
    <t>A l'appel d'offre</t>
  </si>
  <si>
    <t>A la réception Tronico</t>
  </si>
  <si>
    <t>Partie 1 : Pré-analyse</t>
  </si>
  <si>
    <t>Niveau de criticité</t>
  </si>
  <si>
    <t>Partie 2 :  Analyse de risque</t>
  </si>
  <si>
    <t>B</t>
  </si>
  <si>
    <t>Date</t>
  </si>
  <si>
    <t>Dernière Mise à jour :</t>
  </si>
  <si>
    <t>Contact(s)</t>
  </si>
  <si>
    <t>Adresse</t>
  </si>
  <si>
    <t>Thème Critique</t>
  </si>
  <si>
    <t>Analyse de risque (%)</t>
  </si>
  <si>
    <t xml:space="preserve">Risque industriel majeur (déménagement, changement d’équipement, intempérie, …) </t>
  </si>
  <si>
    <t xml:space="preserve">Risque structurel majeur (ERP, rachat, changement d’interlocuteur, …) </t>
  </si>
  <si>
    <t xml:space="preserve">Source unique ou technologie unique </t>
  </si>
  <si>
    <t xml:space="preserve">Pièces contrefaites et/ou documentation falsifiée/Achats auprès des distributeurs non autorisés par les OEM (distributeurs non franchisés, etc) </t>
  </si>
  <si>
    <t>Valeur</t>
  </si>
  <si>
    <t>Nombre de lignes de commandes potentiel par article par an</t>
  </si>
  <si>
    <t>CA potentiel chez le fournisseur (€)</t>
  </si>
  <si>
    <t>Peu risqué</t>
  </si>
  <si>
    <t>Risqué</t>
  </si>
  <si>
    <t>Très risqué</t>
  </si>
  <si>
    <t>A1</t>
  </si>
  <si>
    <t>A2</t>
  </si>
  <si>
    <t>A3</t>
  </si>
  <si>
    <t>A4</t>
  </si>
  <si>
    <t>C</t>
  </si>
  <si>
    <t>D</t>
  </si>
  <si>
    <t>E</t>
  </si>
  <si>
    <t>Risque naturel</t>
  </si>
  <si>
    <t>Stranger</t>
  </si>
  <si>
    <t>Repeater</t>
  </si>
  <si>
    <t>Runner</t>
  </si>
  <si>
    <t>Localisation</t>
  </si>
  <si>
    <t>Projet client</t>
  </si>
  <si>
    <t>Gravité</t>
  </si>
  <si>
    <t>Risque</t>
  </si>
  <si>
    <t>Detectablité</t>
  </si>
  <si>
    <t>Risques issus de la pré-analyse</t>
  </si>
  <si>
    <t>Règles d'attribution :</t>
  </si>
  <si>
    <r>
      <rPr>
        <sz val="11"/>
        <rFont val="Calibri"/>
        <family val="2"/>
      </rPr>
      <t xml:space="preserve">La note Coface actualisée d’un pays est disponible sur le lien suivant : </t>
    </r>
    <r>
      <rPr>
        <u/>
        <sz val="11"/>
        <color indexed="12"/>
        <rFont val="Calibri"/>
        <family val="2"/>
      </rPr>
      <t xml:space="preserve">
</t>
    </r>
    <r>
      <rPr>
        <u/>
        <sz val="11"/>
        <color indexed="30"/>
        <rFont val="Calibri"/>
        <family val="2"/>
      </rPr>
      <t>http://www.coface.fr/Etudes-economiques-et-risque-pays</t>
    </r>
    <r>
      <rPr>
        <u/>
        <sz val="11"/>
        <color indexed="12"/>
        <rFont val="Calibri"/>
        <family val="2"/>
      </rPr>
      <t xml:space="preserve">
</t>
    </r>
  </si>
  <si>
    <t xml:space="preserve">Sélectionner le pays dans le menu déroulant : </t>
  </si>
  <si>
    <t>Prendre la note « Evaluation des risques pays » :</t>
  </si>
  <si>
    <t>Les risques naturels peuvent être localisés à l’aide de la carte suivante :</t>
  </si>
  <si>
    <t>(les risques technologiques ne sont pas considérés)</t>
  </si>
  <si>
    <t>L’auditeur pourra utiliser tout autre source d’information apportant plus de précision sur les risques naturels connus localement (exemple : rivière à proximité avec risque élevé d’inondation…).</t>
  </si>
  <si>
    <t>La gravité et la détectabilité sont notées comme suit :</t>
  </si>
  <si>
    <t>Règle d'attribution :</t>
  </si>
  <si>
    <t xml:space="preserve">L’occurrence est notée, selon le thème, comme suit : </t>
  </si>
  <si>
    <t>Renseigner dans la colonne "Valeur" la valeur de chaque thème. Le niveau de risque est calculé automatiquement selon les règles suivantes</t>
  </si>
  <si>
    <t>CA du fournisseur (€)</t>
  </si>
  <si>
    <t>Risques issus de l'Escalade Achats</t>
  </si>
  <si>
    <t>Nombre de lignes en retard</t>
  </si>
  <si>
    <t>Nombre de lignes à devancer</t>
  </si>
  <si>
    <t>Nombre de lignes sans AR</t>
  </si>
  <si>
    <t>Nombre de lignes FNC + ESR</t>
  </si>
  <si>
    <t>Risques complémentaires</t>
  </si>
  <si>
    <t>%</t>
  </si>
  <si>
    <t>Gestion de l'obsolescence</t>
  </si>
  <si>
    <t>Réactivité aux demandes de Tronico (appels d'offre, demandes AQF, support technique, etc…)</t>
  </si>
  <si>
    <t>Projet client impacté (runner, repeater, stranger, new customer)</t>
  </si>
  <si>
    <t>New Customer</t>
  </si>
  <si>
    <t xml:space="preserve">Nombre de lignes de commandes par an (nouveau fournisseur) ou livrées sur les 12 derniers mois </t>
  </si>
  <si>
    <t>Voir la trame disponible dans le MO-AC-025 pour définir les critères de chaque thème</t>
  </si>
  <si>
    <t>Instructions cf MO-AC-025</t>
  </si>
  <si>
    <t>Type de fournisseur</t>
  </si>
  <si>
    <t>Distributeur</t>
  </si>
  <si>
    <t>Fabricant</t>
  </si>
  <si>
    <t>Coefficient</t>
  </si>
  <si>
    <t>Risque par Chapitre</t>
  </si>
  <si>
    <t>Note Analyse de risque par chapitre (100%-Risque)</t>
  </si>
  <si>
    <t>Note Analyse de risque :</t>
  </si>
  <si>
    <t>Risques Activité Fournisseur</t>
  </si>
  <si>
    <t>AC33 et/ou Audit</t>
  </si>
  <si>
    <t>Escalade achat</t>
  </si>
  <si>
    <t>Activité Fournisseur</t>
  </si>
  <si>
    <t>Approuvé</t>
  </si>
  <si>
    <t>Risque élevé</t>
  </si>
  <si>
    <t>Risque charge / capacité, Statut PIC, Tension de délai (allocation)</t>
  </si>
  <si>
    <t>Période de révision</t>
  </si>
  <si>
    <t>3mois</t>
  </si>
  <si>
    <t>1an</t>
  </si>
  <si>
    <t>1mois</t>
  </si>
  <si>
    <t>Risques Evènementiels</t>
  </si>
  <si>
    <t>Risques Evenementiels</t>
  </si>
  <si>
    <t>Note Risque "pré-analyse":</t>
  </si>
  <si>
    <t>Situation financière (Ellipro, ou autres informations)</t>
  </si>
  <si>
    <t>Management &amp; Strategy</t>
  </si>
  <si>
    <t>Quality &amp; risks management</t>
  </si>
  <si>
    <t>Supply Management</t>
  </si>
  <si>
    <t>Supplier Management</t>
  </si>
  <si>
    <t>Industrialization &amp; design</t>
  </si>
  <si>
    <t>Risques issus de l'AC33 
et/ou Audit</t>
  </si>
  <si>
    <t>Gestion des exportations, gestion des données sensibles (CD, DR, SF)</t>
  </si>
  <si>
    <t>Sous-traitance de compétence</t>
  </si>
  <si>
    <r>
      <rPr>
        <b/>
        <sz val="11"/>
        <color theme="1"/>
        <rFont val="Calibri"/>
        <family val="2"/>
        <scheme val="minor"/>
      </rPr>
      <t>Seuil de déclenchement Analyse de risque :</t>
    </r>
    <r>
      <rPr>
        <sz val="11"/>
        <color theme="1"/>
        <rFont val="Calibri"/>
        <family val="2"/>
        <scheme val="minor"/>
      </rPr>
      <t xml:space="preserve"> L’analyse de risque est déclenchée si la note  Risque « pré-analyse » est inférieur ou égal à 60%</t>
    </r>
  </si>
  <si>
    <t>Preferred</t>
  </si>
  <si>
    <t>Premium</t>
  </si>
  <si>
    <r>
      <t>Pour Automobile : compatible avec objectif IATF (</t>
    </r>
    <r>
      <rPr>
        <i/>
        <sz val="12"/>
        <rFont val="Calibri"/>
        <family val="2"/>
        <scheme val="minor"/>
      </rPr>
      <t>possibilité d'intégrer une certification IATF)</t>
    </r>
  </si>
  <si>
    <t xml:space="preserve">critère fournisseur </t>
  </si>
  <si>
    <t>Contrat Achat</t>
  </si>
  <si>
    <t>Imposed</t>
  </si>
  <si>
    <t>no-stratégic</t>
  </si>
  <si>
    <t>Statut Fournisseur</t>
  </si>
  <si>
    <t>choix</t>
  </si>
  <si>
    <t>oui</t>
  </si>
  <si>
    <t>non</t>
  </si>
  <si>
    <t>Statut contractuel</t>
  </si>
  <si>
    <t>-2 sur note</t>
  </si>
  <si>
    <t>-4 sur note</t>
  </si>
  <si>
    <t>Conformité exigence AC04</t>
  </si>
  <si>
    <t>Conforme</t>
  </si>
  <si>
    <t>partiellement conforme</t>
  </si>
  <si>
    <t>non conforme</t>
  </si>
  <si>
    <t>retour AC35</t>
  </si>
  <si>
    <t>Comparaison AC48</t>
  </si>
  <si>
    <t xml:space="preserve">A voir </t>
  </si>
  <si>
    <t>statut contractuel</t>
  </si>
  <si>
    <t>en cours</t>
  </si>
  <si>
    <t>Analyse des risques AC48_G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</si>
</sst>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3" x14ac:knownFonts="1">
    <font>
      <sz val="11"/>
      <color theme="1"/>
      <name val="Calibri"/>
      <family val="2"/>
      <scheme val="minor"/>
    </font>
    <font>
      <i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b/>
      <i/>
      <sz val="12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</font>
    <font>
      <u/>
      <sz val="11"/>
      <color indexed="3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1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1"/>
      <color rgb="FF4066AA"/>
      <name val="Calibri"/>
      <family val="2"/>
    </font>
    <font>
      <sz val="11"/>
      <color rgb="FFEC7404"/>
      <name val="Calibri"/>
      <family val="2"/>
      <scheme val="minor"/>
    </font>
    <font>
      <sz val="10"/>
      <color rgb="FF949597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i/>
      <sz val="11"/>
      <color rgb="FFEE8716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EC7404"/>
      <name val="Calibri"/>
      <family val="2"/>
      <scheme val="minor"/>
    </font>
    <font>
      <b/>
      <sz val="16"/>
      <color rgb="FFEC7404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EC7404"/>
      <name val="Calibri"/>
      <family val="2"/>
    </font>
    <font>
      <b/>
      <i/>
      <sz val="11"/>
      <color rgb="FFEC7404"/>
      <name val="Calibri"/>
      <family val="2"/>
    </font>
    <font>
      <b/>
      <sz val="1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0"/>
      <name val="Arial"/>
      <family val="2"/>
    </font>
    <font>
      <i/>
      <sz val="11"/>
      <name val="Calibri"/>
      <family val="2"/>
      <scheme val="minor"/>
    </font>
    <font>
      <b/>
      <sz val="12"/>
      <color theme="0"/>
      <name val="Arial"/>
      <family val="2"/>
    </font>
    <font>
      <sz val="26"/>
      <color rgb="FFEC7404"/>
      <name val="Arial"/>
      <family val="2"/>
    </font>
    <font>
      <b/>
      <sz val="11"/>
      <color rgb="FFEC7404"/>
      <name val="Calibri"/>
      <family val="2"/>
      <scheme val="minor"/>
    </font>
    <font>
      <i/>
      <sz val="11"/>
      <color rgb="FF4066AA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rgb="FF4066AA"/>
      </patternFill>
    </fill>
    <fill>
      <patternFill patternType="solid">
        <fgColor rgb="FF949597"/>
        <bgColor indexed="64"/>
      </patternFill>
    </fill>
    <fill>
      <patternFill patternType="solid">
        <fgColor rgb="FFEC7404"/>
        <bgColor indexed="64"/>
      </patternFill>
    </fill>
    <fill>
      <patternFill patternType="solid">
        <fgColor theme="0" tint="-0.14999847407452621"/>
        <bgColor rgb="FF4066AA"/>
      </patternFill>
    </fill>
    <fill>
      <patternFill patternType="solid">
        <fgColor rgb="FF4066AA"/>
        <bgColor indexed="64"/>
      </patternFill>
    </fill>
    <fill>
      <patternFill patternType="solid">
        <fgColor rgb="FF92D050"/>
        <bgColor rgb="FF4066AA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</cellStyleXfs>
  <cellXfs count="381">
    <xf numFmtId="0" fontId="0" fillId="0" borderId="0" xfId="0"/>
    <xf numFmtId="0" fontId="0" fillId="2" borderId="0" xfId="0" applyFill="1"/>
    <xf numFmtId="0" fontId="12" fillId="2" borderId="0" xfId="0" applyFont="1" applyFill="1" applyAlignment="1">
      <alignment horizontal="center"/>
    </xf>
    <xf numFmtId="0" fontId="0" fillId="0" borderId="0" xfId="0" applyProtection="1"/>
    <xf numFmtId="0" fontId="0" fillId="0" borderId="0" xfId="0" applyAlignment="1" applyProtection="1"/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Protection="1"/>
    <xf numFmtId="0" fontId="0" fillId="0" borderId="0" xfId="0" applyBorder="1" applyAlignment="1" applyProtection="1">
      <alignment vertical="top" wrapText="1"/>
    </xf>
    <xf numFmtId="0" fontId="0" fillId="0" borderId="0" xfId="0" applyBorder="1" applyProtection="1"/>
    <xf numFmtId="0" fontId="15" fillId="3" borderId="1" xfId="0" applyFont="1" applyFill="1" applyBorder="1" applyAlignment="1" applyProtection="1">
      <alignment horizontal="center"/>
    </xf>
    <xf numFmtId="0" fontId="14" fillId="0" borderId="0" xfId="0" quotePrefix="1" applyFont="1" applyBorder="1" applyAlignment="1" applyProtection="1">
      <alignment horizontal="center"/>
    </xf>
    <xf numFmtId="0" fontId="0" fillId="0" borderId="0" xfId="0" applyFill="1" applyProtection="1"/>
    <xf numFmtId="0" fontId="15" fillId="3" borderId="2" xfId="0" applyFont="1" applyFill="1" applyBorder="1" applyAlignment="1" applyProtection="1">
      <alignment horizontal="center"/>
    </xf>
    <xf numFmtId="0" fontId="15" fillId="3" borderId="3" xfId="0" applyFont="1" applyFill="1" applyBorder="1" applyAlignment="1" applyProtection="1">
      <alignment horizontal="center"/>
    </xf>
    <xf numFmtId="0" fontId="14" fillId="3" borderId="0" xfId="0" quotePrefix="1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5" xfId="0" applyBorder="1"/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 applyProtection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3" borderId="12" xfId="0" applyFont="1" applyFill="1" applyBorder="1" applyAlignment="1" applyProtection="1">
      <alignment horizontal="center" vertical="center" wrapText="1" readingOrder="1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9" xfId="0" applyFill="1" applyBorder="1" applyProtection="1"/>
    <xf numFmtId="0" fontId="0" fillId="3" borderId="0" xfId="0" applyFill="1" applyBorder="1" applyProtection="1"/>
    <xf numFmtId="0" fontId="0" fillId="3" borderId="10" xfId="0" applyFill="1" applyBorder="1" applyProtection="1"/>
    <xf numFmtId="0" fontId="14" fillId="3" borderId="9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/>
    </xf>
    <xf numFmtId="0" fontId="14" fillId="3" borderId="9" xfId="0" quotePrefix="1" applyFont="1" applyFill="1" applyBorder="1" applyAlignment="1" applyProtection="1">
      <alignment horizontal="center"/>
    </xf>
    <xf numFmtId="0" fontId="14" fillId="3" borderId="11" xfId="0" quotePrefix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14" fillId="3" borderId="4" xfId="0" quotePrefix="1" applyFont="1" applyFill="1" applyBorder="1" applyAlignment="1" applyProtection="1">
      <alignment horizontal="center"/>
    </xf>
    <xf numFmtId="0" fontId="14" fillId="3" borderId="10" xfId="0" quotePrefix="1" applyFont="1" applyFill="1" applyBorder="1" applyAlignment="1" applyProtection="1">
      <alignment horizontal="center"/>
    </xf>
    <xf numFmtId="0" fontId="14" fillId="3" borderId="5" xfId="0" quotePrefix="1" applyFont="1" applyFill="1" applyBorder="1" applyAlignment="1" applyProtection="1">
      <alignment horizontal="center"/>
    </xf>
    <xf numFmtId="0" fontId="12" fillId="0" borderId="0" xfId="0" applyFont="1" applyBorder="1" applyAlignment="1" applyProtection="1"/>
    <xf numFmtId="0" fontId="19" fillId="0" borderId="13" xfId="0" applyFont="1" applyFill="1" applyBorder="1" applyAlignment="1" applyProtection="1">
      <alignment horizontal="center" vertical="center" wrapText="1" readingOrder="1"/>
      <protection locked="0"/>
    </xf>
    <xf numFmtId="0" fontId="20" fillId="3" borderId="10" xfId="0" applyFont="1" applyFill="1" applyBorder="1" applyProtection="1"/>
    <xf numFmtId="0" fontId="21" fillId="0" borderId="14" xfId="0" applyFont="1" applyFill="1" applyBorder="1" applyAlignment="1" applyProtection="1">
      <alignment horizontal="center"/>
    </xf>
    <xf numFmtId="0" fontId="21" fillId="0" borderId="15" xfId="0" applyFont="1" applyFill="1" applyBorder="1" applyAlignment="1" applyProtection="1">
      <alignment horizontal="center"/>
    </xf>
    <xf numFmtId="0" fontId="22" fillId="0" borderId="1" xfId="0" applyFont="1" applyBorder="1"/>
    <xf numFmtId="0" fontId="23" fillId="0" borderId="1" xfId="3" applyFont="1" applyBorder="1" applyAlignment="1"/>
    <xf numFmtId="0" fontId="3" fillId="0" borderId="1" xfId="3" applyFont="1" applyBorder="1" applyAlignment="1">
      <alignment horizontal="center" vertical="center"/>
    </xf>
    <xf numFmtId="0" fontId="3" fillId="0" borderId="1" xfId="3" quotePrefix="1" applyFont="1" applyBorder="1" applyAlignment="1">
      <alignment horizontal="right" vertical="top"/>
    </xf>
    <xf numFmtId="0" fontId="2" fillId="0" borderId="1" xfId="3" applyFont="1" applyBorder="1" applyAlignment="1">
      <alignment vertical="top"/>
    </xf>
    <xf numFmtId="9" fontId="3" fillId="0" borderId="1" xfId="3" quotePrefix="1" applyNumberFormat="1" applyFont="1" applyBorder="1" applyAlignment="1">
      <alignment horizontal="center" vertical="top" wrapText="1"/>
    </xf>
    <xf numFmtId="0" fontId="0" fillId="2" borderId="1" xfId="0" applyFill="1" applyBorder="1"/>
    <xf numFmtId="0" fontId="12" fillId="2" borderId="0" xfId="0" applyFont="1" applyFill="1"/>
    <xf numFmtId="0" fontId="11" fillId="2" borderId="0" xfId="1" applyFill="1"/>
    <xf numFmtId="0" fontId="15" fillId="3" borderId="20" xfId="0" applyFont="1" applyFill="1" applyBorder="1" applyAlignment="1" applyProtection="1">
      <alignment horizontal="center"/>
    </xf>
    <xf numFmtId="9" fontId="21" fillId="0" borderId="1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/>
    <xf numFmtId="9" fontId="0" fillId="0" borderId="0" xfId="0" applyNumberFormat="1" applyBorder="1" applyAlignment="1" applyProtection="1"/>
    <xf numFmtId="0" fontId="24" fillId="0" borderId="22" xfId="0" applyFont="1" applyFill="1" applyBorder="1" applyAlignment="1" applyProtection="1">
      <alignment vertical="center" wrapText="1"/>
    </xf>
    <xf numFmtId="0" fontId="25" fillId="0" borderId="22" xfId="0" applyFont="1" applyFill="1" applyBorder="1" applyAlignment="1" applyProtection="1">
      <alignment horizontal="center" vertical="center" wrapText="1"/>
    </xf>
    <xf numFmtId="9" fontId="26" fillId="7" borderId="22" xfId="4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>
      <alignment horizontal="left" vertical="center"/>
    </xf>
    <xf numFmtId="0" fontId="27" fillId="8" borderId="23" xfId="0" applyFont="1" applyFill="1" applyBorder="1" applyAlignment="1" applyProtection="1">
      <alignment horizontal="center" vertical="center" wrapText="1"/>
    </xf>
    <xf numFmtId="9" fontId="27" fillId="9" borderId="2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3" borderId="1" xfId="0" applyFill="1" applyBorder="1"/>
    <xf numFmtId="0" fontId="0" fillId="0" borderId="0" xfId="0" applyBorder="1" applyAlignment="1">
      <alignment horizontal="center"/>
    </xf>
    <xf numFmtId="0" fontId="30" fillId="0" borderId="25" xfId="0" applyFont="1" applyFill="1" applyBorder="1" applyAlignment="1" applyProtection="1">
      <alignment horizontal="center" vertical="center" wrapText="1"/>
    </xf>
    <xf numFmtId="0" fontId="30" fillId="0" borderId="26" xfId="0" applyFont="1" applyFill="1" applyBorder="1" applyAlignment="1" applyProtection="1">
      <alignment horizontal="center" vertical="center" wrapText="1"/>
    </xf>
    <xf numFmtId="0" fontId="30" fillId="0" borderId="27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0" xfId="1" applyFill="1" applyAlignment="1"/>
    <xf numFmtId="0" fontId="14" fillId="0" borderId="0" xfId="0" applyFont="1" applyFill="1" applyBorder="1" applyAlignment="1" applyProtection="1">
      <alignment horizontal="left" vertical="center"/>
    </xf>
    <xf numFmtId="0" fontId="31" fillId="0" borderId="0" xfId="0" applyFont="1" applyAlignment="1">
      <alignment horizontal="justify" vertical="center"/>
    </xf>
    <xf numFmtId="0" fontId="2" fillId="0" borderId="0" xfId="3" applyFont="1" applyBorder="1" applyAlignment="1">
      <alignment vertical="top"/>
    </xf>
    <xf numFmtId="9" fontId="3" fillId="0" borderId="0" xfId="3" quotePrefix="1" applyNumberFormat="1" applyFont="1" applyBorder="1" applyAlignment="1">
      <alignment horizontal="center" vertical="top" wrapText="1"/>
    </xf>
    <xf numFmtId="0" fontId="32" fillId="2" borderId="0" xfId="0" applyFont="1" applyFill="1"/>
    <xf numFmtId="0" fontId="33" fillId="0" borderId="0" xfId="0" applyFont="1" applyAlignment="1">
      <alignment horizontal="center"/>
    </xf>
    <xf numFmtId="0" fontId="33" fillId="0" borderId="0" xfId="0" applyFont="1"/>
    <xf numFmtId="0" fontId="0" fillId="2" borderId="0" xfId="0" applyFont="1" applyFill="1"/>
    <xf numFmtId="0" fontId="0" fillId="2" borderId="0" xfId="0" applyFill="1" applyBorder="1"/>
    <xf numFmtId="0" fontId="0" fillId="3" borderId="1" xfId="0" applyFill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9" fontId="29" fillId="0" borderId="30" xfId="4" applyFont="1" applyFill="1" applyBorder="1" applyAlignment="1" applyProtection="1">
      <alignment horizontal="center" vertical="center" wrapText="1"/>
      <protection locked="0"/>
    </xf>
    <xf numFmtId="9" fontId="29" fillId="0" borderId="31" xfId="4" applyFont="1" applyFill="1" applyBorder="1" applyAlignment="1" applyProtection="1">
      <alignment horizontal="center" vertical="center" wrapText="1"/>
      <protection locked="0"/>
    </xf>
    <xf numFmtId="9" fontId="29" fillId="0" borderId="32" xfId="4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Protection="1"/>
    <xf numFmtId="0" fontId="28" fillId="7" borderId="2" xfId="0" applyFont="1" applyFill="1" applyBorder="1" applyAlignment="1" applyProtection="1">
      <alignment horizontal="center" vertical="center" wrapText="1"/>
      <protection locked="0"/>
    </xf>
    <xf numFmtId="9" fontId="29" fillId="0" borderId="20" xfId="0" applyNumberFormat="1" applyFont="1" applyFill="1" applyBorder="1" applyAlignment="1" applyProtection="1">
      <alignment horizontal="center" vertical="center" wrapText="1"/>
    </xf>
    <xf numFmtId="0" fontId="28" fillId="7" borderId="14" xfId="0" applyFont="1" applyFill="1" applyBorder="1" applyAlignment="1" applyProtection="1">
      <alignment horizontal="center" vertical="center" wrapText="1"/>
      <protection locked="0"/>
    </xf>
    <xf numFmtId="9" fontId="29" fillId="0" borderId="16" xfId="0" applyNumberFormat="1" applyFont="1" applyFill="1" applyBorder="1" applyAlignment="1" applyProtection="1">
      <alignment horizontal="center" vertical="center" wrapText="1"/>
    </xf>
    <xf numFmtId="0" fontId="28" fillId="7" borderId="15" xfId="0" applyFont="1" applyFill="1" applyBorder="1" applyAlignment="1" applyProtection="1">
      <alignment horizontal="center" vertical="center" wrapText="1"/>
      <protection locked="0"/>
    </xf>
    <xf numFmtId="9" fontId="29" fillId="0" borderId="21" xfId="0" applyNumberFormat="1" applyFont="1" applyFill="1" applyBorder="1" applyAlignment="1" applyProtection="1">
      <alignment horizontal="center" vertical="center" wrapText="1"/>
    </xf>
    <xf numFmtId="0" fontId="28" fillId="7" borderId="19" xfId="0" applyFont="1" applyFill="1" applyBorder="1" applyAlignment="1" applyProtection="1">
      <alignment horizontal="center" vertical="center" wrapText="1"/>
      <protection locked="0"/>
    </xf>
    <xf numFmtId="9" fontId="29" fillId="0" borderId="18" xfId="0" applyNumberFormat="1" applyFont="1" applyFill="1" applyBorder="1" applyAlignment="1" applyProtection="1">
      <alignment horizontal="center" vertical="center" wrapText="1"/>
    </xf>
    <xf numFmtId="0" fontId="28" fillId="10" borderId="2" xfId="0" applyFont="1" applyFill="1" applyBorder="1" applyAlignment="1" applyProtection="1">
      <alignment horizontal="center" vertical="center" wrapText="1"/>
      <protection locked="0"/>
    </xf>
    <xf numFmtId="0" fontId="28" fillId="10" borderId="14" xfId="0" applyFont="1" applyFill="1" applyBorder="1" applyAlignment="1" applyProtection="1">
      <alignment horizontal="center" vertical="center" wrapText="1"/>
      <protection locked="0"/>
    </xf>
    <xf numFmtId="0" fontId="28" fillId="10" borderId="15" xfId="0" applyFont="1" applyFill="1" applyBorder="1" applyAlignment="1" applyProtection="1">
      <alignment horizontal="center" vertical="center" wrapText="1"/>
      <protection locked="0"/>
    </xf>
    <xf numFmtId="0" fontId="28" fillId="10" borderId="19" xfId="0" applyFont="1" applyFill="1" applyBorder="1" applyAlignment="1" applyProtection="1">
      <alignment horizontal="center" vertical="center" wrapText="1"/>
      <protection locked="0"/>
    </xf>
    <xf numFmtId="9" fontId="30" fillId="0" borderId="62" xfId="0" applyNumberFormat="1" applyFont="1" applyFill="1" applyBorder="1" applyAlignment="1" applyProtection="1">
      <alignment horizontal="center" vertical="center" wrapText="1"/>
    </xf>
    <xf numFmtId="9" fontId="30" fillId="0" borderId="63" xfId="0" applyNumberFormat="1" applyFont="1" applyFill="1" applyBorder="1" applyAlignment="1" applyProtection="1">
      <alignment horizontal="center" vertical="center" wrapText="1"/>
    </xf>
    <xf numFmtId="9" fontId="30" fillId="0" borderId="64" xfId="0" applyNumberFormat="1" applyFont="1" applyFill="1" applyBorder="1" applyAlignment="1" applyProtection="1">
      <alignment horizontal="center" vertical="center" wrapText="1"/>
    </xf>
    <xf numFmtId="9" fontId="46" fillId="7" borderId="20" xfId="4" applyFont="1" applyFill="1" applyBorder="1" applyAlignment="1" applyProtection="1">
      <alignment horizontal="center" vertical="center" wrapText="1"/>
      <protection locked="0"/>
    </xf>
    <xf numFmtId="9" fontId="46" fillId="7" borderId="16" xfId="4" applyFont="1" applyFill="1" applyBorder="1" applyAlignment="1" applyProtection="1">
      <alignment horizontal="center" vertical="center" wrapText="1"/>
      <protection locked="0"/>
    </xf>
    <xf numFmtId="9" fontId="46" fillId="7" borderId="18" xfId="4" applyFont="1" applyFill="1" applyBorder="1" applyAlignment="1" applyProtection="1">
      <alignment horizontal="center" vertical="center" wrapText="1"/>
      <protection locked="0"/>
    </xf>
    <xf numFmtId="0" fontId="40" fillId="0" borderId="45" xfId="0" applyFont="1" applyFill="1" applyBorder="1" applyAlignment="1">
      <alignment horizontal="center" vertical="center" wrapText="1"/>
    </xf>
    <xf numFmtId="9" fontId="26" fillId="0" borderId="45" xfId="4" applyFont="1" applyFill="1" applyBorder="1" applyAlignment="1" applyProtection="1">
      <alignment horizontal="center" vertical="center" wrapText="1"/>
      <protection locked="0"/>
    </xf>
    <xf numFmtId="0" fontId="38" fillId="11" borderId="13" xfId="0" applyFont="1" applyFill="1" applyBorder="1" applyAlignment="1">
      <alignment horizontal="center" vertical="center" wrapText="1"/>
    </xf>
    <xf numFmtId="0" fontId="38" fillId="11" borderId="37" xfId="0" applyFont="1" applyFill="1" applyBorder="1" applyAlignment="1">
      <alignment horizontal="center" vertical="center" wrapText="1"/>
    </xf>
    <xf numFmtId="0" fontId="47" fillId="3" borderId="22" xfId="0" applyFont="1" applyFill="1" applyBorder="1" applyAlignment="1" applyProtection="1">
      <alignment horizontal="center" vertical="center" wrapText="1"/>
    </xf>
    <xf numFmtId="9" fontId="46" fillId="7" borderId="21" xfId="4" applyFont="1" applyFill="1" applyBorder="1" applyAlignment="1" applyProtection="1">
      <alignment horizontal="center" vertical="center" wrapText="1"/>
      <protection locked="0"/>
    </xf>
    <xf numFmtId="9" fontId="0" fillId="0" borderId="0" xfId="4" applyFont="1" applyAlignment="1" applyProtection="1">
      <alignment horizontal="center"/>
    </xf>
    <xf numFmtId="0" fontId="30" fillId="0" borderId="62" xfId="0" applyNumberFormat="1" applyFont="1" applyFill="1" applyBorder="1" applyAlignment="1" applyProtection="1">
      <alignment horizontal="center" vertical="center" wrapText="1"/>
    </xf>
    <xf numFmtId="0" fontId="30" fillId="0" borderId="63" xfId="0" applyNumberFormat="1" applyFont="1" applyFill="1" applyBorder="1" applyAlignment="1" applyProtection="1">
      <alignment horizontal="center" vertical="center" wrapText="1"/>
    </xf>
    <xf numFmtId="0" fontId="30" fillId="0" borderId="64" xfId="0" applyNumberFormat="1" applyFont="1" applyFill="1" applyBorder="1" applyAlignment="1" applyProtection="1">
      <alignment horizontal="center" vertical="center" wrapText="1"/>
    </xf>
    <xf numFmtId="0" fontId="27" fillId="8" borderId="2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Font="1"/>
    <xf numFmtId="0" fontId="30" fillId="0" borderId="56" xfId="0" applyFont="1" applyFill="1" applyBorder="1" applyAlignment="1" applyProtection="1">
      <alignment horizontal="center" vertical="center" wrapText="1"/>
    </xf>
    <xf numFmtId="0" fontId="26" fillId="0" borderId="54" xfId="0" applyFont="1" applyFill="1" applyBorder="1" applyAlignment="1" applyProtection="1">
      <alignment horizontal="center" vertical="center" wrapText="1"/>
      <protection locked="0"/>
    </xf>
    <xf numFmtId="0" fontId="26" fillId="0" borderId="56" xfId="0" applyFont="1" applyFill="1" applyBorder="1" applyAlignment="1" applyProtection="1">
      <alignment horizontal="center" vertical="center" wrapText="1"/>
      <protection locked="0"/>
    </xf>
    <xf numFmtId="0" fontId="26" fillId="0" borderId="41" xfId="0" applyFont="1" applyFill="1" applyBorder="1" applyAlignment="1" applyProtection="1">
      <alignment horizontal="center" vertical="center" wrapText="1"/>
      <protection locked="0"/>
    </xf>
    <xf numFmtId="9" fontId="30" fillId="0" borderId="65" xfId="0" applyNumberFormat="1" applyFont="1" applyFill="1" applyBorder="1" applyAlignment="1" applyProtection="1">
      <alignment horizontal="center" vertical="center" wrapText="1"/>
    </xf>
    <xf numFmtId="0" fontId="30" fillId="0" borderId="65" xfId="0" applyNumberFormat="1" applyFont="1" applyFill="1" applyBorder="1" applyAlignment="1" applyProtection="1">
      <alignment horizontal="center" vertical="center" wrapText="1"/>
    </xf>
    <xf numFmtId="9" fontId="0" fillId="0" borderId="0" xfId="4" applyFont="1" applyProtection="1"/>
    <xf numFmtId="0" fontId="0" fillId="0" borderId="0" xfId="4" applyNumberFormat="1" applyFont="1" applyAlignment="1" applyProtection="1">
      <alignment horizontal="center"/>
    </xf>
    <xf numFmtId="0" fontId="0" fillId="0" borderId="0" xfId="4" applyNumberFormat="1" applyFont="1" applyBorder="1" applyAlignment="1" applyProtection="1">
      <alignment horizontal="center"/>
    </xf>
    <xf numFmtId="0" fontId="0" fillId="0" borderId="0" xfId="4" applyNumberFormat="1" applyFont="1" applyAlignment="1" applyProtection="1">
      <alignment horizontal="center" vertical="center" wrapText="1"/>
    </xf>
    <xf numFmtId="9" fontId="29" fillId="0" borderId="66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 applyProtection="1">
      <alignment vertical="center"/>
    </xf>
    <xf numFmtId="0" fontId="21" fillId="0" borderId="1" xfId="0" applyFont="1" applyFill="1" applyBorder="1" applyAlignment="1" applyProtection="1">
      <alignment horizontal="center"/>
    </xf>
    <xf numFmtId="9" fontId="21" fillId="0" borderId="1" xfId="0" applyNumberFormat="1" applyFont="1" applyFill="1" applyBorder="1" applyAlignment="1" applyProtection="1">
      <alignment horizontal="center"/>
    </xf>
    <xf numFmtId="0" fontId="21" fillId="0" borderId="17" xfId="0" applyFont="1" applyFill="1" applyBorder="1" applyAlignment="1" applyProtection="1">
      <alignment horizontal="center"/>
    </xf>
    <xf numFmtId="9" fontId="21" fillId="0" borderId="17" xfId="0" applyNumberFormat="1" applyFont="1" applyFill="1" applyBorder="1" applyAlignment="1" applyProtection="1">
      <alignment horizontal="center"/>
    </xf>
    <xf numFmtId="0" fontId="51" fillId="0" borderId="0" xfId="0" applyFont="1"/>
    <xf numFmtId="0" fontId="51" fillId="0" borderId="0" xfId="0" applyFont="1" applyProtection="1"/>
    <xf numFmtId="0" fontId="52" fillId="0" borderId="0" xfId="0" applyFont="1" applyFill="1" applyBorder="1" applyAlignment="1" applyProtection="1">
      <alignment vertical="center"/>
    </xf>
    <xf numFmtId="0" fontId="0" fillId="0" borderId="67" xfId="0" applyFill="1" applyBorder="1"/>
    <xf numFmtId="0" fontId="30" fillId="0" borderId="48" xfId="0" applyFont="1" applyFill="1" applyBorder="1" applyAlignment="1" applyProtection="1">
      <alignment horizontal="center" vertical="center" wrapText="1"/>
    </xf>
    <xf numFmtId="0" fontId="0" fillId="3" borderId="67" xfId="0" applyFill="1" applyBorder="1"/>
    <xf numFmtId="0" fontId="28" fillId="12" borderId="39" xfId="0" applyFont="1" applyFill="1" applyBorder="1" applyAlignment="1" applyProtection="1">
      <alignment horizontal="center" vertical="center" wrapText="1"/>
      <protection locked="0"/>
    </xf>
    <xf numFmtId="0" fontId="28" fillId="12" borderId="36" xfId="0" applyFont="1" applyFill="1" applyBorder="1" applyAlignment="1" applyProtection="1">
      <alignment horizontal="center" vertical="center" wrapText="1"/>
      <protection locked="0"/>
    </xf>
    <xf numFmtId="0" fontId="28" fillId="10" borderId="60" xfId="0" applyFont="1" applyFill="1" applyBorder="1" applyAlignment="1" applyProtection="1">
      <alignment horizontal="center" vertical="center" wrapText="1"/>
      <protection locked="0"/>
    </xf>
    <xf numFmtId="0" fontId="28" fillId="7" borderId="23" xfId="0" applyFont="1" applyFill="1" applyBorder="1" applyAlignment="1" applyProtection="1">
      <alignment horizontal="center" vertical="center" wrapText="1"/>
      <protection locked="0"/>
    </xf>
    <xf numFmtId="0" fontId="30" fillId="0" borderId="8" xfId="0" applyNumberFormat="1" applyFont="1" applyFill="1" applyBorder="1" applyAlignment="1" applyProtection="1">
      <alignment horizontal="center" vertical="center" wrapText="1"/>
    </xf>
    <xf numFmtId="9" fontId="29" fillId="0" borderId="61" xfId="0" applyNumberFormat="1" applyFont="1" applyFill="1" applyBorder="1" applyAlignment="1" applyProtection="1">
      <alignment horizontal="center" vertical="center" wrapText="1"/>
    </xf>
    <xf numFmtId="9" fontId="29" fillId="0" borderId="31" xfId="0" applyNumberFormat="1" applyFont="1" applyFill="1" applyBorder="1" applyAlignment="1" applyProtection="1">
      <alignment horizontal="center" vertical="center" wrapText="1"/>
    </xf>
    <xf numFmtId="0" fontId="28" fillId="10" borderId="68" xfId="0" applyFont="1" applyFill="1" applyBorder="1" applyAlignment="1" applyProtection="1">
      <alignment horizontal="center" vertical="center" wrapText="1"/>
      <protection locked="0"/>
    </xf>
    <xf numFmtId="0" fontId="28" fillId="10" borderId="34" xfId="0" applyFont="1" applyFill="1" applyBorder="1" applyAlignment="1" applyProtection="1">
      <alignment horizontal="center" vertical="center" wrapText="1"/>
      <protection locked="0"/>
    </xf>
    <xf numFmtId="0" fontId="28" fillId="12" borderId="2" xfId="0" applyFont="1" applyFill="1" applyBorder="1" applyAlignment="1" applyProtection="1">
      <alignment horizontal="center" vertical="center" wrapText="1"/>
      <protection locked="0"/>
    </xf>
    <xf numFmtId="9" fontId="29" fillId="0" borderId="20" xfId="4" applyFont="1" applyFill="1" applyBorder="1" applyAlignment="1" applyProtection="1">
      <alignment horizontal="center" vertical="center" wrapText="1"/>
      <protection locked="0"/>
    </xf>
    <xf numFmtId="0" fontId="28" fillId="12" borderId="15" xfId="0" applyFont="1" applyFill="1" applyBorder="1" applyAlignment="1" applyProtection="1">
      <alignment horizontal="center" vertical="center" wrapText="1"/>
      <protection locked="0"/>
    </xf>
    <xf numFmtId="9" fontId="29" fillId="0" borderId="18" xfId="4" applyFont="1" applyFill="1" applyBorder="1" applyAlignment="1" applyProtection="1">
      <alignment horizontal="center" vertical="center" wrapText="1"/>
      <protection locked="0"/>
    </xf>
    <xf numFmtId="9" fontId="46" fillId="7" borderId="69" xfId="4" applyFont="1" applyFill="1" applyBorder="1" applyAlignment="1" applyProtection="1">
      <alignment horizontal="center" vertical="center" wrapText="1"/>
      <protection locked="0"/>
    </xf>
    <xf numFmtId="0" fontId="28" fillId="3" borderId="19" xfId="0" applyFont="1" applyFill="1" applyBorder="1" applyAlignment="1" applyProtection="1">
      <alignment horizontal="center" vertical="center" wrapText="1"/>
      <protection locked="0"/>
    </xf>
    <xf numFmtId="0" fontId="30" fillId="0" borderId="42" xfId="0" applyNumberFormat="1" applyFont="1" applyFill="1" applyBorder="1" applyAlignment="1" applyProtection="1">
      <alignment horizontal="center" vertical="center" wrapText="1"/>
    </xf>
    <xf numFmtId="0" fontId="28" fillId="7" borderId="70" xfId="0" applyFont="1" applyFill="1" applyBorder="1" applyAlignment="1" applyProtection="1">
      <alignment horizontal="center" vertical="center" wrapText="1"/>
      <protection locked="0"/>
    </xf>
    <xf numFmtId="9" fontId="29" fillId="0" borderId="69" xfId="0" applyNumberFormat="1" applyFont="1" applyFill="1" applyBorder="1" applyAlignment="1" applyProtection="1">
      <alignment horizontal="center" vertical="center" wrapText="1"/>
    </xf>
    <xf numFmtId="0" fontId="28" fillId="10" borderId="70" xfId="0" applyFont="1" applyFill="1" applyBorder="1" applyAlignment="1" applyProtection="1">
      <alignment horizontal="center" vertical="center" wrapText="1"/>
      <protection locked="0"/>
    </xf>
    <xf numFmtId="9" fontId="30" fillId="0" borderId="72" xfId="0" applyNumberFormat="1" applyFont="1" applyFill="1" applyBorder="1" applyAlignment="1" applyProtection="1">
      <alignment horizontal="center" vertical="center" wrapText="1"/>
    </xf>
    <xf numFmtId="0" fontId="30" fillId="0" borderId="72" xfId="0" applyNumberFormat="1" applyFont="1" applyFill="1" applyBorder="1" applyAlignment="1" applyProtection="1">
      <alignment horizontal="center" vertical="center" wrapText="1"/>
    </xf>
    <xf numFmtId="9" fontId="29" fillId="0" borderId="32" xfId="0" applyNumberFormat="1" applyFont="1" applyFill="1" applyBorder="1" applyAlignment="1" applyProtection="1">
      <alignment horizontal="center" vertical="center" wrapText="1"/>
    </xf>
    <xf numFmtId="0" fontId="28" fillId="10" borderId="39" xfId="0" applyFont="1" applyFill="1" applyBorder="1" applyAlignment="1" applyProtection="1">
      <alignment horizontal="center" vertical="center" wrapText="1"/>
      <protection locked="0"/>
    </xf>
    <xf numFmtId="9" fontId="29" fillId="0" borderId="30" xfId="0" applyNumberFormat="1" applyFont="1" applyFill="1" applyBorder="1" applyAlignment="1" applyProtection="1">
      <alignment horizontal="center" vertical="center" wrapText="1"/>
    </xf>
    <xf numFmtId="0" fontId="28" fillId="12" borderId="14" xfId="0" applyFont="1" applyFill="1" applyBorder="1" applyAlignment="1" applyProtection="1">
      <alignment horizontal="center" vertical="center" wrapText="1"/>
      <protection locked="0"/>
    </xf>
    <xf numFmtId="9" fontId="29" fillId="0" borderId="16" xfId="4" applyFont="1" applyFill="1" applyBorder="1" applyAlignment="1" applyProtection="1">
      <alignment horizontal="center" vertical="center" wrapText="1"/>
      <protection locked="0"/>
    </xf>
    <xf numFmtId="0" fontId="28" fillId="10" borderId="36" xfId="0" applyFont="1" applyFill="1" applyBorder="1" applyAlignment="1" applyProtection="1">
      <alignment horizontal="center" vertical="center" wrapText="1"/>
      <protection locked="0"/>
    </xf>
    <xf numFmtId="0" fontId="28" fillId="12" borderId="41" xfId="0" applyFont="1" applyFill="1" applyBorder="1" applyAlignment="1" applyProtection="1">
      <alignment horizontal="center" vertical="center" wrapText="1"/>
      <protection locked="0"/>
    </xf>
    <xf numFmtId="9" fontId="29" fillId="0" borderId="40" xfId="4" applyFont="1" applyFill="1" applyBorder="1" applyAlignment="1" applyProtection="1">
      <alignment horizontal="center" vertical="center" wrapText="1"/>
      <protection locked="0"/>
    </xf>
    <xf numFmtId="0" fontId="34" fillId="0" borderId="13" xfId="0" applyFont="1" applyFill="1" applyBorder="1" applyAlignment="1" applyProtection="1">
      <alignment horizontal="center" vertical="center" wrapText="1" readingOrder="1"/>
      <protection locked="0"/>
    </xf>
    <xf numFmtId="0" fontId="34" fillId="0" borderId="37" xfId="0" applyFont="1" applyFill="1" applyBorder="1" applyAlignment="1" applyProtection="1">
      <alignment horizontal="center" vertical="center" wrapText="1" readingOrder="1"/>
      <protection locked="0"/>
    </xf>
    <xf numFmtId="14" fontId="35" fillId="2" borderId="13" xfId="0" applyNumberFormat="1" applyFont="1" applyFill="1" applyBorder="1" applyAlignment="1" applyProtection="1">
      <alignment horizontal="center" vertical="center" wrapText="1" readingOrder="1"/>
    </xf>
    <xf numFmtId="14" fontId="35" fillId="2" borderId="37" xfId="0" applyNumberFormat="1" applyFont="1" applyFill="1" applyBorder="1" applyAlignment="1" applyProtection="1">
      <alignment horizontal="center" vertical="center" wrapText="1" readingOrder="1"/>
    </xf>
    <xf numFmtId="0" fontId="30" fillId="0" borderId="35" xfId="0" applyNumberFormat="1" applyFont="1" applyFill="1" applyBorder="1" applyAlignment="1" applyProtection="1">
      <alignment horizontal="center" vertical="center" wrapText="1"/>
    </xf>
    <xf numFmtId="0" fontId="30" fillId="0" borderId="38" xfId="0" applyNumberFormat="1" applyFont="1" applyFill="1" applyBorder="1" applyAlignment="1" applyProtection="1">
      <alignment horizontal="center" vertical="center" wrapText="1"/>
    </xf>
    <xf numFmtId="0" fontId="27" fillId="8" borderId="12" xfId="0" applyFont="1" applyFill="1" applyBorder="1" applyAlignment="1" applyProtection="1">
      <alignment horizontal="center" vertical="center"/>
    </xf>
    <xf numFmtId="0" fontId="27" fillId="8" borderId="45" xfId="0" applyFont="1" applyFill="1" applyBorder="1" applyAlignment="1" applyProtection="1">
      <alignment horizontal="center" vertical="center"/>
    </xf>
    <xf numFmtId="0" fontId="27" fillId="8" borderId="37" xfId="0" applyFont="1" applyFill="1" applyBorder="1" applyAlignment="1" applyProtection="1">
      <alignment horizontal="center" vertical="center"/>
    </xf>
    <xf numFmtId="0" fontId="39" fillId="0" borderId="8" xfId="0" applyFont="1" applyFill="1" applyBorder="1" applyAlignment="1" applyProtection="1">
      <alignment horizontal="center" vertical="center" textRotation="90" wrapText="1"/>
    </xf>
    <xf numFmtId="0" fontId="39" fillId="0" borderId="42" xfId="0" applyFont="1" applyFill="1" applyBorder="1" applyAlignment="1" applyProtection="1">
      <alignment horizontal="center" vertical="center" textRotation="90" wrapText="1"/>
    </xf>
    <xf numFmtId="0" fontId="50" fillId="0" borderId="15" xfId="0" applyFont="1" applyFill="1" applyBorder="1" applyAlignment="1" applyProtection="1">
      <alignment horizontal="left" vertical="center" wrapText="1"/>
    </xf>
    <xf numFmtId="0" fontId="50" fillId="0" borderId="31" xfId="0" applyFont="1" applyFill="1" applyBorder="1" applyAlignment="1" applyProtection="1">
      <alignment horizontal="left" vertical="center" wrapText="1"/>
    </xf>
    <xf numFmtId="0" fontId="0" fillId="0" borderId="42" xfId="0" applyFill="1" applyBorder="1" applyAlignment="1">
      <alignment horizontal="center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9" fontId="29" fillId="0" borderId="50" xfId="4" applyFont="1" applyFill="1" applyBorder="1" applyAlignment="1" applyProtection="1">
      <alignment horizontal="center" vertical="center" wrapText="1"/>
      <protection locked="0"/>
    </xf>
    <xf numFmtId="9" fontId="29" fillId="0" borderId="53" xfId="4" applyFont="1" applyFill="1" applyBorder="1" applyAlignment="1" applyProtection="1">
      <alignment horizontal="center" vertical="center" wrapText="1"/>
      <protection locked="0"/>
    </xf>
    <xf numFmtId="0" fontId="36" fillId="0" borderId="36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36" fillId="0" borderId="30" xfId="0" applyNumberFormat="1" applyFont="1" applyFill="1" applyBorder="1" applyAlignment="1" applyProtection="1">
      <alignment horizontal="center" vertical="center" wrapText="1"/>
    </xf>
    <xf numFmtId="0" fontId="30" fillId="0" borderId="33" xfId="0" applyNumberFormat="1" applyFont="1" applyFill="1" applyBorder="1" applyAlignment="1" applyProtection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0" fontId="36" fillId="0" borderId="33" xfId="0" applyNumberFormat="1" applyFont="1" applyFill="1" applyBorder="1" applyAlignment="1" applyProtection="1">
      <alignment horizontal="center" vertical="center" wrapText="1"/>
    </xf>
    <xf numFmtId="0" fontId="36" fillId="0" borderId="27" xfId="0" applyNumberFormat="1" applyFont="1" applyFill="1" applyBorder="1" applyAlignment="1" applyProtection="1">
      <alignment horizontal="center" vertical="center" wrapText="1"/>
    </xf>
    <xf numFmtId="0" fontId="36" fillId="0" borderId="47" xfId="0" applyNumberFormat="1" applyFont="1" applyFill="1" applyBorder="1" applyAlignment="1" applyProtection="1">
      <alignment horizontal="center" vertical="center" wrapText="1"/>
    </xf>
    <xf numFmtId="9" fontId="29" fillId="3" borderId="25" xfId="0" applyNumberFormat="1" applyFont="1" applyFill="1" applyBorder="1" applyAlignment="1" applyProtection="1">
      <alignment horizontal="center" vertical="center" wrapText="1"/>
    </xf>
    <xf numFmtId="9" fontId="29" fillId="3" borderId="26" xfId="0" applyNumberFormat="1" applyFont="1" applyFill="1" applyBorder="1" applyAlignment="1" applyProtection="1">
      <alignment horizontal="center" vertical="center" wrapText="1"/>
    </xf>
    <xf numFmtId="0" fontId="37" fillId="0" borderId="54" xfId="0" applyFont="1" applyFill="1" applyBorder="1" applyAlignment="1" applyProtection="1">
      <alignment horizontal="left" vertical="center" wrapText="1"/>
    </xf>
    <xf numFmtId="0" fontId="37" fillId="0" borderId="56" xfId="0" applyFont="1" applyFill="1" applyBorder="1" applyAlignment="1" applyProtection="1">
      <alignment horizontal="left" vertical="center" wrapText="1"/>
    </xf>
    <xf numFmtId="0" fontId="36" fillId="0" borderId="2" xfId="0" quotePrefix="1" applyNumberFormat="1" applyFont="1" applyFill="1" applyBorder="1" applyAlignment="1" applyProtection="1">
      <alignment horizontal="center" vertical="center" wrapText="1"/>
    </xf>
    <xf numFmtId="0" fontId="36" fillId="0" borderId="3" xfId="0" applyNumberFormat="1" applyFont="1" applyFill="1" applyBorder="1" applyAlignment="1" applyProtection="1">
      <alignment horizontal="center" vertical="center" wrapText="1"/>
    </xf>
    <xf numFmtId="0" fontId="36" fillId="0" borderId="20" xfId="0" applyNumberFormat="1" applyFont="1" applyFill="1" applyBorder="1" applyAlignment="1" applyProtection="1">
      <alignment horizontal="center" vertical="center" wrapText="1"/>
    </xf>
    <xf numFmtId="0" fontId="36" fillId="0" borderId="14" xfId="0" applyNumberFormat="1" applyFont="1" applyFill="1" applyBorder="1" applyAlignment="1" applyProtection="1">
      <alignment horizontal="center" vertical="center" wrapText="1"/>
    </xf>
    <xf numFmtId="0" fontId="36" fillId="0" borderId="16" xfId="0" applyNumberFormat="1" applyFont="1" applyFill="1" applyBorder="1" applyAlignment="1" applyProtection="1">
      <alignment horizontal="center" vertical="center" wrapText="1"/>
    </xf>
    <xf numFmtId="164" fontId="26" fillId="7" borderId="51" xfId="2" applyNumberFormat="1" applyFont="1" applyFill="1" applyBorder="1" applyAlignment="1" applyProtection="1">
      <alignment horizontal="center" vertical="center" wrapText="1"/>
      <protection locked="0"/>
    </xf>
    <xf numFmtId="164" fontId="26" fillId="7" borderId="52" xfId="2" applyNumberFormat="1" applyFont="1" applyFill="1" applyBorder="1" applyAlignment="1" applyProtection="1">
      <alignment horizontal="center" vertical="center" wrapText="1"/>
      <protection locked="0"/>
    </xf>
    <xf numFmtId="0" fontId="39" fillId="0" borderId="62" xfId="0" applyFont="1" applyFill="1" applyBorder="1" applyAlignment="1" applyProtection="1">
      <alignment horizontal="center" vertical="center" textRotation="90" wrapText="1"/>
    </xf>
    <xf numFmtId="0" fontId="0" fillId="0" borderId="63" xfId="0" applyBorder="1" applyAlignment="1">
      <alignment horizontal="center" vertical="center" textRotation="90" wrapText="1"/>
    </xf>
    <xf numFmtId="0" fontId="0" fillId="0" borderId="64" xfId="0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7" fillId="8" borderId="45" xfId="0" applyFont="1" applyFill="1" applyBorder="1" applyAlignment="1" applyProtection="1">
      <alignment horizontal="center" vertical="center" wrapText="1"/>
    </xf>
    <xf numFmtId="0" fontId="27" fillId="8" borderId="37" xfId="0" applyFont="1" applyFill="1" applyBorder="1" applyAlignment="1" applyProtection="1">
      <alignment horizontal="center" vertical="center" wrapText="1"/>
    </xf>
    <xf numFmtId="0" fontId="28" fillId="8" borderId="13" xfId="0" applyFont="1" applyFill="1" applyBorder="1" applyAlignment="1" applyProtection="1">
      <alignment horizontal="center" vertical="center" wrapText="1"/>
    </xf>
    <xf numFmtId="0" fontId="28" fillId="8" borderId="45" xfId="0" applyFont="1" applyFill="1" applyBorder="1" applyAlignment="1" applyProtection="1">
      <alignment horizontal="center" vertical="center" wrapText="1"/>
    </xf>
    <xf numFmtId="0" fontId="26" fillId="7" borderId="2" xfId="0" applyFont="1" applyFill="1" applyBorder="1" applyAlignment="1" applyProtection="1">
      <alignment horizontal="center" vertical="center" wrapText="1"/>
      <protection locked="0"/>
    </xf>
    <xf numFmtId="0" fontId="26" fillId="7" borderId="20" xfId="0" applyFont="1" applyFill="1" applyBorder="1" applyAlignment="1" applyProtection="1">
      <alignment horizontal="center" vertical="center" wrapText="1"/>
      <protection locked="0"/>
    </xf>
    <xf numFmtId="0" fontId="26" fillId="7" borderId="14" xfId="0" applyFont="1" applyFill="1" applyBorder="1" applyAlignment="1" applyProtection="1">
      <alignment horizontal="center" vertical="center" wrapText="1"/>
      <protection locked="0"/>
    </xf>
    <xf numFmtId="0" fontId="26" fillId="7" borderId="16" xfId="0" applyFont="1" applyFill="1" applyBorder="1" applyAlignment="1" applyProtection="1">
      <alignment horizontal="center" vertical="center" wrapText="1"/>
      <protection locked="0"/>
    </xf>
    <xf numFmtId="0" fontId="26" fillId="7" borderId="15" xfId="0" applyFont="1" applyFill="1" applyBorder="1" applyAlignment="1" applyProtection="1">
      <alignment horizontal="center" vertical="center" wrapText="1"/>
      <protection locked="0"/>
    </xf>
    <xf numFmtId="0" fontId="26" fillId="7" borderId="18" xfId="0" applyFont="1" applyFill="1" applyBorder="1" applyAlignment="1" applyProtection="1">
      <alignment horizontal="center" vertical="center" wrapText="1"/>
      <protection locked="0"/>
    </xf>
    <xf numFmtId="0" fontId="27" fillId="8" borderId="13" xfId="0" applyFont="1" applyFill="1" applyBorder="1" applyAlignment="1" applyProtection="1">
      <alignment horizontal="center" vertical="center" wrapText="1"/>
    </xf>
    <xf numFmtId="0" fontId="26" fillId="0" borderId="33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34" xfId="0" applyFont="1" applyFill="1" applyBorder="1" applyAlignment="1" applyProtection="1">
      <alignment horizontal="center" vertical="center" wrapText="1"/>
      <protection locked="0"/>
    </xf>
    <xf numFmtId="0" fontId="26" fillId="0" borderId="35" xfId="0" applyFont="1" applyFill="1" applyBorder="1" applyAlignment="1" applyProtection="1">
      <alignment horizontal="center" vertical="center" wrapText="1"/>
      <protection locked="0"/>
    </xf>
    <xf numFmtId="0" fontId="26" fillId="0" borderId="26" xfId="0" applyFont="1" applyFill="1" applyBorder="1" applyAlignment="1" applyProtection="1">
      <alignment horizontal="center" vertical="center" wrapText="1"/>
      <protection locked="0"/>
    </xf>
    <xf numFmtId="0" fontId="26" fillId="0" borderId="36" xfId="0" applyFont="1" applyFill="1" applyBorder="1" applyAlignment="1" applyProtection="1">
      <alignment horizontal="center" vertical="center" wrapText="1"/>
      <protection locked="0"/>
    </xf>
    <xf numFmtId="0" fontId="26" fillId="0" borderId="50" xfId="0" applyFont="1" applyFill="1" applyBorder="1" applyAlignment="1" applyProtection="1">
      <alignment horizontal="center" vertical="center" wrapText="1"/>
      <protection locked="0"/>
    </xf>
    <xf numFmtId="0" fontId="26" fillId="0" borderId="57" xfId="0" applyFont="1" applyFill="1" applyBorder="1" applyAlignment="1" applyProtection="1">
      <alignment horizontal="center" vertical="center" wrapText="1"/>
      <protection locked="0"/>
    </xf>
    <xf numFmtId="0" fontId="26" fillId="0" borderId="39" xfId="0" applyFont="1" applyFill="1" applyBorder="1" applyAlignment="1" applyProtection="1">
      <alignment horizontal="center" vertical="center" wrapText="1"/>
      <protection locked="0"/>
    </xf>
    <xf numFmtId="164" fontId="26" fillId="7" borderId="28" xfId="2" applyNumberFormat="1" applyFont="1" applyFill="1" applyBorder="1" applyAlignment="1" applyProtection="1">
      <alignment horizontal="center" vertical="center" wrapText="1"/>
      <protection locked="0"/>
    </xf>
    <xf numFmtId="164" fontId="26" fillId="7" borderId="46" xfId="2" applyNumberFormat="1" applyFont="1" applyFill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30" fillId="0" borderId="54" xfId="0" applyNumberFormat="1" applyFont="1" applyFill="1" applyBorder="1" applyAlignment="1" applyProtection="1">
      <alignment horizontal="center" vertical="center" wrapText="1"/>
    </xf>
    <xf numFmtId="0" fontId="30" fillId="0" borderId="55" xfId="0" applyNumberFormat="1" applyFont="1" applyFill="1" applyBorder="1" applyAlignment="1" applyProtection="1">
      <alignment horizontal="center" vertical="center" wrapText="1"/>
    </xf>
    <xf numFmtId="9" fontId="27" fillId="8" borderId="23" xfId="0" applyNumberFormat="1" applyFont="1" applyFill="1" applyBorder="1" applyAlignment="1" applyProtection="1">
      <alignment horizontal="center" vertical="center" wrapText="1"/>
    </xf>
    <xf numFmtId="9" fontId="27" fillId="8" borderId="58" xfId="0" applyNumberFormat="1" applyFont="1" applyFill="1" applyBorder="1" applyAlignment="1" applyProtection="1">
      <alignment horizontal="center" vertical="center" wrapText="1"/>
    </xf>
    <xf numFmtId="9" fontId="27" fillId="8" borderId="59" xfId="0" applyNumberFormat="1" applyFont="1" applyFill="1" applyBorder="1" applyAlignment="1" applyProtection="1">
      <alignment horizontal="center" vertical="center" wrapText="1"/>
    </xf>
    <xf numFmtId="164" fontId="26" fillId="0" borderId="54" xfId="2" applyNumberFormat="1" applyFont="1" applyFill="1" applyBorder="1" applyAlignment="1" applyProtection="1">
      <alignment horizontal="center" vertical="center" wrapText="1"/>
      <protection locked="0"/>
    </xf>
    <xf numFmtId="164" fontId="26" fillId="0" borderId="56" xfId="2" applyNumberFormat="1" applyFont="1" applyFill="1" applyBorder="1" applyAlignment="1" applyProtection="1">
      <alignment horizontal="center" vertical="center" wrapText="1"/>
      <protection locked="0"/>
    </xf>
    <xf numFmtId="164" fontId="26" fillId="0" borderId="41" xfId="2" applyNumberFormat="1" applyFont="1" applyFill="1" applyBorder="1" applyAlignment="1" applyProtection="1">
      <alignment horizontal="center" vertical="center" wrapText="1"/>
      <protection locked="0"/>
    </xf>
    <xf numFmtId="164" fontId="26" fillId="0" borderId="28" xfId="2" applyNumberFormat="1" applyFont="1" applyFill="1" applyBorder="1" applyAlignment="1" applyProtection="1">
      <alignment horizontal="center" vertical="center" wrapText="1"/>
      <protection locked="0"/>
    </xf>
    <xf numFmtId="164" fontId="26" fillId="0" borderId="25" xfId="2" applyNumberFormat="1" applyFont="1" applyFill="1" applyBorder="1" applyAlignment="1" applyProtection="1">
      <alignment horizontal="center" vertical="center" wrapText="1"/>
      <protection locked="0"/>
    </xf>
    <xf numFmtId="164" fontId="2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38" fillId="11" borderId="12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0" fontId="38" fillId="11" borderId="11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42" xfId="0" applyFont="1" applyFill="1" applyBorder="1" applyAlignment="1" applyProtection="1">
      <alignment horizontal="center" vertical="center" wrapText="1"/>
    </xf>
    <xf numFmtId="0" fontId="26" fillId="0" borderId="43" xfId="0" applyFont="1" applyFill="1" applyBorder="1" applyAlignment="1" applyProtection="1">
      <alignment horizontal="center" vertical="center" wrapText="1"/>
    </xf>
    <xf numFmtId="0" fontId="39" fillId="0" borderId="43" xfId="0" applyFont="1" applyFill="1" applyBorder="1" applyAlignment="1" applyProtection="1">
      <alignment horizontal="center" vertical="center" textRotation="90" wrapText="1"/>
    </xf>
    <xf numFmtId="0" fontId="40" fillId="9" borderId="13" xfId="0" applyFont="1" applyFill="1" applyBorder="1" applyAlignment="1">
      <alignment horizontal="center" vertical="center" wrapText="1"/>
    </xf>
    <xf numFmtId="0" fontId="40" fillId="9" borderId="37" xfId="0" applyFont="1" applyFill="1" applyBorder="1" applyAlignment="1">
      <alignment horizontal="center" vertical="center" wrapText="1"/>
    </xf>
    <xf numFmtId="0" fontId="27" fillId="8" borderId="44" xfId="0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 applyProtection="1">
      <alignment horizontal="left" vertical="center" wrapText="1"/>
    </xf>
    <xf numFmtId="0" fontId="37" fillId="0" borderId="40" xfId="0" applyFont="1" applyFill="1" applyBorder="1" applyAlignment="1" applyProtection="1">
      <alignment horizontal="left" vertical="center" wrapText="1"/>
    </xf>
    <xf numFmtId="0" fontId="37" fillId="0" borderId="70" xfId="0" applyFont="1" applyFill="1" applyBorder="1" applyAlignment="1" applyProtection="1">
      <alignment horizontal="left" vertical="center" wrapText="1"/>
    </xf>
    <xf numFmtId="0" fontId="37" fillId="0" borderId="71" xfId="0" applyFont="1" applyFill="1" applyBorder="1" applyAlignment="1" applyProtection="1">
      <alignment horizontal="left" vertical="center" wrapText="1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46" xfId="0" applyFont="1" applyFill="1" applyBorder="1" applyAlignment="1" applyProtection="1">
      <alignment horizontal="left" vertical="center" wrapText="1"/>
    </xf>
    <xf numFmtId="0" fontId="37" fillId="0" borderId="26" xfId="0" applyFont="1" applyFill="1" applyBorder="1" applyAlignment="1" applyProtection="1">
      <alignment horizontal="left" vertical="center" wrapText="1"/>
    </xf>
    <xf numFmtId="0" fontId="37" fillId="0" borderId="38" xfId="0" applyFont="1" applyFill="1" applyBorder="1" applyAlignment="1" applyProtection="1">
      <alignment horizontal="left" vertical="center" wrapText="1"/>
    </xf>
    <xf numFmtId="0" fontId="37" fillId="0" borderId="48" xfId="0" applyFont="1" applyFill="1" applyBorder="1" applyAlignment="1" applyProtection="1">
      <alignment horizontal="left" vertical="center" wrapText="1"/>
    </xf>
    <xf numFmtId="0" fontId="37" fillId="0" borderId="49" xfId="0" applyFont="1" applyFill="1" applyBorder="1" applyAlignment="1" applyProtection="1">
      <alignment horizontal="left" vertical="center" wrapText="1"/>
    </xf>
    <xf numFmtId="0" fontId="45" fillId="9" borderId="35" xfId="0" applyFont="1" applyFill="1" applyBorder="1" applyAlignment="1">
      <alignment horizontal="left" vertical="center" wrapText="1"/>
    </xf>
    <xf numFmtId="0" fontId="45" fillId="9" borderId="26" xfId="0" applyFont="1" applyFill="1" applyBorder="1" applyAlignment="1">
      <alignment horizontal="left" vertical="center" wrapText="1"/>
    </xf>
    <xf numFmtId="0" fontId="45" fillId="9" borderId="50" xfId="0" applyFont="1" applyFill="1" applyBorder="1" applyAlignment="1">
      <alignment horizontal="left" vertical="center" wrapText="1"/>
    </xf>
    <xf numFmtId="0" fontId="45" fillId="9" borderId="57" xfId="0" applyFont="1" applyFill="1" applyBorder="1" applyAlignment="1">
      <alignment horizontal="left" vertical="center" wrapText="1"/>
    </xf>
    <xf numFmtId="0" fontId="37" fillId="0" borderId="35" xfId="0" applyFont="1" applyFill="1" applyBorder="1" applyAlignment="1" applyProtection="1">
      <alignment horizontal="left" vertical="center" wrapText="1"/>
    </xf>
    <xf numFmtId="0" fontId="45" fillId="9" borderId="33" xfId="0" applyFont="1" applyFill="1" applyBorder="1" applyAlignment="1">
      <alignment horizontal="left" vertical="center" wrapText="1"/>
    </xf>
    <xf numFmtId="0" fontId="45" fillId="9" borderId="27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 applyProtection="1">
      <alignment horizontal="left" vertical="center" wrapText="1"/>
    </xf>
    <xf numFmtId="0" fontId="37" fillId="0" borderId="31" xfId="0" applyFont="1" applyFill="1" applyBorder="1" applyAlignment="1" applyProtection="1">
      <alignment horizontal="left" vertical="center" wrapText="1"/>
    </xf>
    <xf numFmtId="0" fontId="36" fillId="0" borderId="34" xfId="0" applyNumberFormat="1" applyFont="1" applyFill="1" applyBorder="1" applyAlignment="1" applyProtection="1">
      <alignment horizontal="center" vertical="center" wrapText="1"/>
    </xf>
    <xf numFmtId="0" fontId="36" fillId="0" borderId="17" xfId="0" applyNumberFormat="1" applyFont="1" applyFill="1" applyBorder="1" applyAlignment="1" applyProtection="1">
      <alignment horizontal="center" vertical="center" wrapText="1"/>
    </xf>
    <xf numFmtId="0" fontId="36" fillId="0" borderId="31" xfId="0" applyNumberFormat="1" applyFont="1" applyFill="1" applyBorder="1" applyAlignment="1" applyProtection="1">
      <alignment horizontal="center" vertical="center" wrapText="1"/>
    </xf>
    <xf numFmtId="0" fontId="36" fillId="0" borderId="39" xfId="0" applyNumberFormat="1" applyFont="1" applyFill="1" applyBorder="1" applyAlignment="1" applyProtection="1">
      <alignment horizontal="center" vertical="center" wrapText="1"/>
    </xf>
    <xf numFmtId="0" fontId="36" fillId="0" borderId="32" xfId="0" applyNumberFormat="1" applyFont="1" applyFill="1" applyBorder="1" applyAlignment="1" applyProtection="1">
      <alignment horizontal="center" vertical="center" wrapText="1"/>
    </xf>
    <xf numFmtId="9" fontId="29" fillId="3" borderId="57" xfId="0" applyNumberFormat="1" applyFont="1" applyFill="1" applyBorder="1" applyAlignment="1">
      <alignment horizontal="center" vertical="center" wrapText="1"/>
    </xf>
    <xf numFmtId="0" fontId="50" fillId="0" borderId="33" xfId="0" applyFont="1" applyFill="1" applyBorder="1" applyAlignment="1" applyProtection="1">
      <alignment horizontal="left" vertical="center" wrapText="1"/>
    </xf>
    <xf numFmtId="0" fontId="37" fillId="0" borderId="47" xfId="0" applyFont="1" applyFill="1" applyBorder="1" applyAlignment="1" applyProtection="1">
      <alignment horizontal="left" vertical="center" wrapText="1"/>
    </xf>
    <xf numFmtId="0" fontId="37" fillId="0" borderId="2" xfId="0" applyFont="1" applyFill="1" applyBorder="1" applyAlignment="1" applyProtection="1">
      <alignment horizontal="left" vertical="center" wrapText="1"/>
    </xf>
    <xf numFmtId="0" fontId="37" fillId="0" borderId="32" xfId="0" applyFont="1" applyFill="1" applyBorder="1" applyAlignment="1" applyProtection="1">
      <alignment horizontal="left" vertical="center" wrapText="1"/>
    </xf>
    <xf numFmtId="9" fontId="27" fillId="8" borderId="13" xfId="0" applyNumberFormat="1" applyFont="1" applyFill="1" applyBorder="1" applyAlignment="1" applyProtection="1">
      <alignment horizontal="center" vertical="center" wrapText="1"/>
    </xf>
    <xf numFmtId="9" fontId="27" fillId="8" borderId="45" xfId="0" applyNumberFormat="1" applyFont="1" applyFill="1" applyBorder="1" applyAlignment="1" applyProtection="1">
      <alignment horizontal="center" vertical="center" wrapText="1"/>
    </xf>
    <xf numFmtId="9" fontId="27" fillId="8" borderId="37" xfId="0" applyNumberFormat="1" applyFont="1" applyFill="1" applyBorder="1" applyAlignment="1" applyProtection="1">
      <alignment horizontal="center" vertical="center" wrapText="1"/>
    </xf>
    <xf numFmtId="9" fontId="27" fillId="9" borderId="13" xfId="0" applyNumberFormat="1" applyFont="1" applyFill="1" applyBorder="1" applyAlignment="1" applyProtection="1">
      <alignment horizontal="center" vertical="center" wrapText="1"/>
    </xf>
    <xf numFmtId="9" fontId="27" fillId="9" borderId="37" xfId="0" applyNumberFormat="1" applyFont="1" applyFill="1" applyBorder="1" applyAlignment="1" applyProtection="1">
      <alignment horizontal="center" vertical="center" wrapText="1"/>
    </xf>
    <xf numFmtId="0" fontId="30" fillId="0" borderId="50" xfId="0" applyNumberFormat="1" applyFont="1" applyFill="1" applyBorder="1" applyAlignment="1" applyProtection="1">
      <alignment horizontal="center" vertical="center" wrapText="1"/>
    </xf>
    <xf numFmtId="0" fontId="30" fillId="0" borderId="53" xfId="0" applyNumberFormat="1" applyFont="1" applyFill="1" applyBorder="1" applyAlignment="1" applyProtection="1">
      <alignment horizontal="center" vertical="center" wrapText="1"/>
    </xf>
    <xf numFmtId="9" fontId="29" fillId="3" borderId="27" xfId="0" applyNumberFormat="1" applyFont="1" applyFill="1" applyBorder="1" applyAlignment="1">
      <alignment horizontal="center" vertical="center" wrapText="1"/>
    </xf>
    <xf numFmtId="9" fontId="29" fillId="3" borderId="26" xfId="0" applyNumberFormat="1" applyFont="1" applyFill="1" applyBorder="1" applyAlignment="1">
      <alignment horizontal="center" vertical="center" wrapText="1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14" xfId="0" applyFont="1" applyFill="1" applyBorder="1" applyAlignment="1" applyProtection="1">
      <alignment horizontal="left" vertical="center" wrapText="1"/>
    </xf>
    <xf numFmtId="0" fontId="30" fillId="0" borderId="28" xfId="0" applyNumberFormat="1" applyFont="1" applyFill="1" applyBorder="1" applyAlignment="1" applyProtection="1">
      <alignment horizontal="center" vertical="center" wrapText="1"/>
    </xf>
    <xf numFmtId="0" fontId="30" fillId="0" borderId="46" xfId="0" applyNumberFormat="1" applyFont="1" applyFill="1" applyBorder="1" applyAlignment="1" applyProtection="1">
      <alignment horizontal="center" vertical="center" wrapText="1"/>
    </xf>
    <xf numFmtId="9" fontId="30" fillId="0" borderId="42" xfId="0" applyNumberFormat="1" applyFont="1" applyFill="1" applyBorder="1" applyAlignment="1" applyProtection="1">
      <alignment horizontal="center" vertical="center" wrapText="1"/>
    </xf>
    <xf numFmtId="0" fontId="36" fillId="0" borderId="36" xfId="0" quotePrefix="1" applyNumberFormat="1" applyFont="1" applyFill="1" applyBorder="1" applyAlignment="1" applyProtection="1">
      <alignment horizontal="center" vertical="center" wrapText="1"/>
    </xf>
    <xf numFmtId="9" fontId="29" fillId="0" borderId="35" xfId="4" applyFont="1" applyFill="1" applyBorder="1" applyAlignment="1" applyProtection="1">
      <alignment horizontal="center" vertical="center" wrapText="1"/>
      <protection locked="0"/>
    </xf>
    <xf numFmtId="9" fontId="29" fillId="0" borderId="38" xfId="4" applyFont="1" applyFill="1" applyBorder="1" applyAlignment="1" applyProtection="1">
      <alignment horizontal="center" vertical="center" wrapText="1"/>
      <protection locked="0"/>
    </xf>
    <xf numFmtId="0" fontId="36" fillId="0" borderId="34" xfId="0" quotePrefix="1" applyNumberFormat="1" applyFont="1" applyFill="1" applyBorder="1" applyAlignment="1" applyProtection="1">
      <alignment horizontal="center" vertical="center" wrapText="1"/>
    </xf>
    <xf numFmtId="0" fontId="50" fillId="0" borderId="50" xfId="0" applyFont="1" applyFill="1" applyBorder="1" applyAlignment="1" applyProtection="1">
      <alignment horizontal="left" vertical="center" wrapText="1"/>
    </xf>
    <xf numFmtId="0" fontId="50" fillId="0" borderId="53" xfId="0" applyFont="1" applyFill="1" applyBorder="1" applyAlignment="1" applyProtection="1">
      <alignment horizontal="left" vertical="center" wrapText="1"/>
    </xf>
    <xf numFmtId="0" fontId="36" fillId="0" borderId="15" xfId="0" applyNumberFormat="1" applyFont="1" applyFill="1" applyBorder="1" applyAlignment="1" applyProtection="1">
      <alignment horizontal="center" vertical="center" wrapText="1"/>
    </xf>
    <xf numFmtId="0" fontId="36" fillId="0" borderId="18" xfId="0" applyNumberFormat="1" applyFont="1" applyFill="1" applyBorder="1" applyAlignment="1" applyProtection="1">
      <alignment horizontal="center" vertical="center" wrapText="1"/>
    </xf>
    <xf numFmtId="9" fontId="29" fillId="0" borderId="33" xfId="4" applyFont="1" applyFill="1" applyBorder="1" applyAlignment="1" applyProtection="1">
      <alignment horizontal="center" vertical="center" wrapText="1"/>
      <protection locked="0"/>
    </xf>
    <xf numFmtId="9" fontId="29" fillId="0" borderId="47" xfId="4" applyFont="1" applyFill="1" applyBorder="1" applyAlignment="1" applyProtection="1">
      <alignment horizontal="center" vertical="center" wrapText="1"/>
      <protection locked="0"/>
    </xf>
    <xf numFmtId="0" fontId="37" fillId="0" borderId="50" xfId="0" applyFont="1" applyFill="1" applyBorder="1" applyAlignment="1" applyProtection="1">
      <alignment horizontal="left" vertical="center" wrapText="1"/>
    </xf>
    <xf numFmtId="0" fontId="37" fillId="0" borderId="57" xfId="0" applyFont="1" applyFill="1" applyBorder="1" applyAlignment="1" applyProtection="1">
      <alignment horizontal="left" vertical="center" wrapText="1"/>
    </xf>
    <xf numFmtId="9" fontId="29" fillId="3" borderId="56" xfId="0" applyNumberFormat="1" applyFont="1" applyFill="1" applyBorder="1" applyAlignment="1" applyProtection="1">
      <alignment horizontal="center" vertical="center" wrapText="1"/>
    </xf>
    <xf numFmtId="0" fontId="50" fillId="0" borderId="14" xfId="0" applyFont="1" applyFill="1" applyBorder="1" applyAlignment="1" applyProtection="1">
      <alignment horizontal="left" vertical="center" wrapText="1"/>
    </xf>
    <xf numFmtId="0" fontId="50" fillId="0" borderId="30" xfId="0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9" fontId="30" fillId="0" borderId="62" xfId="0" applyNumberFormat="1" applyFont="1" applyFill="1" applyBorder="1" applyAlignment="1" applyProtection="1">
      <alignment horizontal="center" vertical="center" wrapText="1"/>
    </xf>
    <xf numFmtId="9" fontId="30" fillId="0" borderId="63" xfId="0" applyNumberFormat="1" applyFont="1" applyFill="1" applyBorder="1" applyAlignment="1" applyProtection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9" fontId="30" fillId="0" borderId="8" xfId="0" applyNumberFormat="1" applyFont="1" applyFill="1" applyBorder="1" applyAlignment="1" applyProtection="1">
      <alignment horizontal="center" vertical="center" wrapText="1"/>
    </xf>
    <xf numFmtId="9" fontId="30" fillId="0" borderId="43" xfId="0" applyNumberFormat="1" applyFont="1" applyFill="1" applyBorder="1" applyAlignment="1" applyProtection="1">
      <alignment horizontal="center" vertical="center" wrapText="1"/>
    </xf>
    <xf numFmtId="9" fontId="29" fillId="3" borderId="54" xfId="0" applyNumberFormat="1" applyFont="1" applyFill="1" applyBorder="1" applyAlignment="1">
      <alignment horizontal="center" vertical="center" wrapText="1"/>
    </xf>
    <xf numFmtId="9" fontId="29" fillId="3" borderId="55" xfId="0" applyNumberFormat="1" applyFont="1" applyFill="1" applyBorder="1" applyAlignment="1">
      <alignment horizontal="center" vertical="center" wrapText="1"/>
    </xf>
    <xf numFmtId="0" fontId="36" fillId="0" borderId="41" xfId="0" applyNumberFormat="1" applyFont="1" applyFill="1" applyBorder="1" applyAlignment="1" applyProtection="1">
      <alignment horizontal="center" vertical="center" wrapText="1"/>
    </xf>
    <xf numFmtId="0" fontId="36" fillId="0" borderId="24" xfId="0" applyNumberFormat="1" applyFont="1" applyFill="1" applyBorder="1" applyAlignment="1" applyProtection="1">
      <alignment horizontal="center" vertical="center" wrapText="1"/>
    </xf>
    <xf numFmtId="0" fontId="36" fillId="0" borderId="40" xfId="0" applyNumberFormat="1" applyFont="1" applyFill="1" applyBorder="1" applyAlignment="1" applyProtection="1">
      <alignment horizontal="center" vertical="center" wrapText="1"/>
    </xf>
    <xf numFmtId="0" fontId="36" fillId="0" borderId="29" xfId="0" applyNumberFormat="1" applyFont="1" applyFill="1" applyBorder="1" applyAlignment="1" applyProtection="1">
      <alignment horizontal="center" vertical="center" wrapText="1"/>
    </xf>
    <xf numFmtId="0" fontId="36" fillId="0" borderId="73" xfId="0" applyNumberFormat="1" applyFont="1" applyFill="1" applyBorder="1" applyAlignment="1" applyProtection="1">
      <alignment horizontal="center" vertical="center" wrapText="1"/>
    </xf>
    <xf numFmtId="0" fontId="36" fillId="0" borderId="71" xfId="0" applyNumberFormat="1" applyFont="1" applyFill="1" applyBorder="1" applyAlignment="1" applyProtection="1">
      <alignment horizontal="center" vertical="center" wrapText="1"/>
    </xf>
    <xf numFmtId="9" fontId="29" fillId="3" borderId="50" xfId="0" applyNumberFormat="1" applyFont="1" applyFill="1" applyBorder="1" applyAlignment="1">
      <alignment horizontal="center" vertical="center" wrapText="1"/>
    </xf>
    <xf numFmtId="9" fontId="29" fillId="3" borderId="53" xfId="0" applyNumberFormat="1" applyFont="1" applyFill="1" applyBorder="1" applyAlignment="1">
      <alignment horizontal="center" vertical="center" wrapText="1"/>
    </xf>
    <xf numFmtId="9" fontId="29" fillId="3" borderId="33" xfId="0" applyNumberFormat="1" applyFont="1" applyFill="1" applyBorder="1" applyAlignment="1">
      <alignment horizontal="center" vertical="center" wrapText="1"/>
    </xf>
    <xf numFmtId="9" fontId="29" fillId="3" borderId="47" xfId="0" applyNumberFormat="1" applyFont="1" applyFill="1" applyBorder="1" applyAlignment="1">
      <alignment horizontal="center" vertical="center" wrapText="1"/>
    </xf>
    <xf numFmtId="9" fontId="29" fillId="3" borderId="25" xfId="0" applyNumberFormat="1" applyFont="1" applyFill="1" applyBorder="1" applyAlignment="1">
      <alignment horizontal="center" vertical="center" wrapText="1"/>
    </xf>
    <xf numFmtId="0" fontId="37" fillId="0" borderId="27" xfId="0" applyFont="1" applyFill="1" applyBorder="1" applyAlignment="1" applyProtection="1">
      <alignment horizontal="left" vertical="center" wrapText="1"/>
    </xf>
    <xf numFmtId="0" fontId="36" fillId="0" borderId="19" xfId="0" quotePrefix="1" applyNumberFormat="1" applyFont="1" applyFill="1" applyBorder="1" applyAlignment="1" applyProtection="1">
      <alignment horizontal="center" vertical="center" wrapText="1"/>
    </xf>
    <xf numFmtId="0" fontId="36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7" fillId="0" borderId="33" xfId="0" applyFont="1" applyFill="1" applyBorder="1" applyAlignment="1" applyProtection="1">
      <alignment horizontal="left" vertical="center" wrapText="1"/>
    </xf>
    <xf numFmtId="0" fontId="37" fillId="0" borderId="60" xfId="0" applyFont="1" applyFill="1" applyBorder="1" applyAlignment="1" applyProtection="1">
      <alignment horizontal="left" vertical="center" wrapText="1"/>
    </xf>
    <xf numFmtId="0" fontId="37" fillId="0" borderId="61" xfId="0" applyFont="1" applyFill="1" applyBorder="1" applyAlignment="1" applyProtection="1">
      <alignment horizontal="left" vertical="center" wrapText="1"/>
    </xf>
    <xf numFmtId="9" fontId="29" fillId="0" borderId="54" xfId="4" applyFont="1" applyFill="1" applyBorder="1" applyAlignment="1" applyProtection="1">
      <alignment horizontal="center" vertical="center" wrapText="1"/>
      <protection locked="0"/>
    </xf>
    <xf numFmtId="9" fontId="29" fillId="0" borderId="55" xfId="4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/>
    </xf>
    <xf numFmtId="0" fontId="42" fillId="0" borderId="13" xfId="0" applyFont="1" applyFill="1" applyBorder="1" applyAlignment="1" applyProtection="1">
      <alignment horizontal="center"/>
    </xf>
    <xf numFmtId="0" fontId="42" fillId="0" borderId="45" xfId="0" applyFont="1" applyFill="1" applyBorder="1" applyAlignment="1" applyProtection="1">
      <alignment horizontal="center"/>
    </xf>
    <xf numFmtId="0" fontId="42" fillId="0" borderId="37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 vertical="center" wrapText="1" readingOrder="1"/>
    </xf>
    <xf numFmtId="0" fontId="1" fillId="0" borderId="37" xfId="0" applyFont="1" applyFill="1" applyBorder="1" applyAlignment="1" applyProtection="1">
      <alignment horizontal="center" vertical="center" wrapText="1" readingOrder="1"/>
    </xf>
    <xf numFmtId="0" fontId="43" fillId="0" borderId="13" xfId="0" applyFont="1" applyFill="1" applyBorder="1" applyAlignment="1" applyProtection="1">
      <alignment horizontal="center" vertical="center" wrapText="1" readingOrder="1"/>
    </xf>
    <xf numFmtId="0" fontId="43" fillId="0" borderId="45" xfId="0" applyFont="1" applyFill="1" applyBorder="1" applyAlignment="1" applyProtection="1">
      <alignment horizontal="center" vertical="center" wrapText="1" readingOrder="1"/>
    </xf>
    <xf numFmtId="0" fontId="43" fillId="0" borderId="37" xfId="0" applyFont="1" applyFill="1" applyBorder="1" applyAlignment="1" applyProtection="1">
      <alignment horizontal="center" vertical="center" wrapText="1" readingOrder="1"/>
    </xf>
    <xf numFmtId="14" fontId="43" fillId="0" borderId="13" xfId="0" applyNumberFormat="1" applyFont="1" applyFill="1" applyBorder="1" applyAlignment="1" applyProtection="1">
      <alignment horizontal="center" vertical="center" wrapText="1" readingOrder="1"/>
    </xf>
    <xf numFmtId="0" fontId="14" fillId="0" borderId="1" xfId="0" applyFont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/>
    </xf>
  </cellXfs>
  <cellStyles count="5">
    <cellStyle name="Lien hypertexte" xfId="1" builtinId="8"/>
    <cellStyle name="Monétaire" xfId="2" builtinId="4"/>
    <cellStyle name="Normal" xfId="0" builtinId="0"/>
    <cellStyle name="Normal 4" xfId="3" xr:uid="{00000000-0005-0000-0000-000003000000}"/>
    <cellStyle name="Pourcentage" xfId="4" builtinId="5"/>
  </cellStyles>
  <dxfs count="2">
    <dxf>
      <font>
        <color theme="0" tint="-4.9989318521683403E-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308333421885017"/>
          <c:y val="2.77776702973553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Comparaison!$K$5</c:f>
              <c:strCache>
                <c:ptCount val="1"/>
                <c:pt idx="0">
                  <c:v>Analyse de risque (%)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Comparaison!$I$6:$I$11</c:f>
              <c:strCache>
                <c:ptCount val="6"/>
                <c:pt idx="0">
                  <c:v>Fournisseur</c:v>
                </c:pt>
                <c:pt idx="1">
                  <c:v>Fournisseur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Comparaison!$K$6:$K$11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F-4EDC-BF10-069DD29DF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732536"/>
        <c:axId val="436734104"/>
      </c:barChart>
      <c:catAx>
        <c:axId val="43673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36734104"/>
        <c:crosses val="autoZero"/>
        <c:auto val="1"/>
        <c:lblAlgn val="ctr"/>
        <c:lblOffset val="100"/>
        <c:noMultiLvlLbl val="0"/>
      </c:catAx>
      <c:valAx>
        <c:axId val="4367341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36732536"/>
        <c:crosses val="autoZero"/>
        <c:crossBetween val="between"/>
      </c:valAx>
      <c:spPr>
        <a:gradFill rotWithShape="0">
          <a:gsLst>
            <a:gs pos="100000">
              <a:srgbClr val="FF0000"/>
            </a:gs>
            <a:gs pos="31000">
              <a:srgbClr val="FF0000"/>
            </a:gs>
            <a:gs pos="10000">
              <a:srgbClr val="FFC000"/>
            </a:gs>
            <a:gs pos="9000">
              <a:srgbClr val="00B050"/>
            </a:gs>
            <a:gs pos="30000">
              <a:srgbClr val="FFC000"/>
            </a:gs>
            <a:gs pos="0">
              <a:srgbClr val="00B050"/>
            </a:gs>
          </a:gsLst>
          <a:lin ang="5400000"/>
        </a:gra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57</xdr:row>
      <xdr:rowOff>57150</xdr:rowOff>
    </xdr:from>
    <xdr:to>
      <xdr:col>2</xdr:col>
      <xdr:colOff>2686050</xdr:colOff>
      <xdr:row>73</xdr:row>
      <xdr:rowOff>114300</xdr:rowOff>
    </xdr:to>
    <xdr:pic>
      <xdr:nvPicPr>
        <xdr:cNvPr id="1026" name="Image 2" descr="http://ekladata.com/X_hCcYdcuLMuozvNO5bKjS3m-g0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649200"/>
          <a:ext cx="3571875" cy="310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2</xdr:col>
      <xdr:colOff>2600325</xdr:colOff>
      <xdr:row>47</xdr:row>
      <xdr:rowOff>38100</xdr:rowOff>
    </xdr:to>
    <xdr:pic>
      <xdr:nvPicPr>
        <xdr:cNvPr id="1027" name="Imag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686550"/>
          <a:ext cx="396240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876300</xdr:colOff>
      <xdr:row>54</xdr:row>
      <xdr:rowOff>123825</xdr:rowOff>
    </xdr:to>
    <xdr:pic>
      <xdr:nvPicPr>
        <xdr:cNvPr id="1028" name="Imag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068050"/>
          <a:ext cx="876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754381</xdr:colOff>
      <xdr:row>7</xdr:row>
      <xdr:rowOff>22860</xdr:rowOff>
    </xdr:from>
    <xdr:to>
      <xdr:col>3</xdr:col>
      <xdr:colOff>516312</xdr:colOff>
      <xdr:row>22</xdr:row>
      <xdr:rowOff>11430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381" y="1661160"/>
          <a:ext cx="5073071" cy="273177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5</xdr:col>
      <xdr:colOff>342900</xdr:colOff>
      <xdr:row>143</xdr:row>
      <xdr:rowOff>9525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9402425"/>
          <a:ext cx="6619875" cy="838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47625</xdr:rowOff>
    </xdr:from>
    <xdr:to>
      <xdr:col>3</xdr:col>
      <xdr:colOff>1405890</xdr:colOff>
      <xdr:row>1</xdr:row>
      <xdr:rowOff>529590</xdr:rowOff>
    </xdr:to>
    <xdr:pic>
      <xdr:nvPicPr>
        <xdr:cNvPr id="286952" name="Image 2">
          <a:extLst>
            <a:ext uri="{FF2B5EF4-FFF2-40B4-BE49-F238E27FC236}">
              <a16:creationId xmlns:a16="http://schemas.microsoft.com/office/drawing/2014/main" id="{00000000-0008-0000-0200-0000E860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1" t="8559" r="6593" b="24799"/>
        <a:stretch>
          <a:fillRect/>
        </a:stretch>
      </xdr:blipFill>
      <xdr:spPr bwMode="auto">
        <a:xfrm>
          <a:off x="714375" y="47625"/>
          <a:ext cx="42386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2250017</xdr:colOff>
      <xdr:row>53</xdr:row>
      <xdr:rowOff>143934</xdr:rowOff>
    </xdr:from>
    <xdr:to>
      <xdr:col>3</xdr:col>
      <xdr:colOff>2472478</xdr:colOff>
      <xdr:row>53</xdr:row>
      <xdr:rowOff>376979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9AFFF94-CEF8-436E-BBB7-BDF025F64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6600" y="20495684"/>
          <a:ext cx="216746" cy="2159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oneCellAnchor>
    <xdr:from>
      <xdr:col>3</xdr:col>
      <xdr:colOff>202141</xdr:colOff>
      <xdr:row>38</xdr:row>
      <xdr:rowOff>26326</xdr:rowOff>
    </xdr:from>
    <xdr:ext cx="279401" cy="283766"/>
    <xdr:pic>
      <xdr:nvPicPr>
        <xdr:cNvPr id="8" name="Image 7">
          <a:extLst>
            <a:ext uri="{FF2B5EF4-FFF2-40B4-BE49-F238E27FC236}">
              <a16:creationId xmlns:a16="http://schemas.microsoft.com/office/drawing/2014/main" id="{0D3CDB1E-90DB-4482-BE95-B8D6E6729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4016" y="13742326"/>
          <a:ext cx="279401" cy="28376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3</xdr:col>
      <xdr:colOff>615950</xdr:colOff>
      <xdr:row>37</xdr:row>
      <xdr:rowOff>5292</xdr:rowOff>
    </xdr:from>
    <xdr:ext cx="300111" cy="304800"/>
    <xdr:pic>
      <xdr:nvPicPr>
        <xdr:cNvPr id="9" name="Image 8">
          <a:extLst>
            <a:ext uri="{FF2B5EF4-FFF2-40B4-BE49-F238E27FC236}">
              <a16:creationId xmlns:a16="http://schemas.microsoft.com/office/drawing/2014/main" id="{7EA31EDE-9E54-43ED-9D87-28A165326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7825" y="13324417"/>
          <a:ext cx="300111" cy="3048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3</xdr:col>
      <xdr:colOff>1337733</xdr:colOff>
      <xdr:row>39</xdr:row>
      <xdr:rowOff>61251</xdr:rowOff>
    </xdr:from>
    <xdr:ext cx="279401" cy="283766"/>
    <xdr:pic>
      <xdr:nvPicPr>
        <xdr:cNvPr id="6" name="Image 5">
          <a:extLst>
            <a:ext uri="{FF2B5EF4-FFF2-40B4-BE49-F238E27FC236}">
              <a16:creationId xmlns:a16="http://schemas.microsoft.com/office/drawing/2014/main" id="{C3CA91FB-7D23-413D-9FF4-5423FEAAA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9608" y="14174126"/>
          <a:ext cx="279401" cy="28376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47625</xdr:rowOff>
    </xdr:from>
    <xdr:to>
      <xdr:col>3</xdr:col>
      <xdr:colOff>1390650</xdr:colOff>
      <xdr:row>1</xdr:row>
      <xdr:rowOff>514350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1650217-0503-48CD-99E4-7FE9662A4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1" t="8559" r="6593" b="24799"/>
        <a:stretch>
          <a:fillRect/>
        </a:stretch>
      </xdr:blipFill>
      <xdr:spPr bwMode="auto">
        <a:xfrm>
          <a:off x="714375" y="47625"/>
          <a:ext cx="434149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2175934</xdr:colOff>
      <xdr:row>53</xdr:row>
      <xdr:rowOff>186267</xdr:rowOff>
    </xdr:from>
    <xdr:to>
      <xdr:col>3</xdr:col>
      <xdr:colOff>2392680</xdr:colOff>
      <xdr:row>54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3A6818-942D-4F27-9A77-E3BDA809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1154" y="20577387"/>
          <a:ext cx="216746" cy="21759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oneCellAnchor>
    <xdr:from>
      <xdr:col>2</xdr:col>
      <xdr:colOff>948266</xdr:colOff>
      <xdr:row>38</xdr:row>
      <xdr:rowOff>105701</xdr:rowOff>
    </xdr:from>
    <xdr:ext cx="279401" cy="283766"/>
    <xdr:pic>
      <xdr:nvPicPr>
        <xdr:cNvPr id="4" name="Image 3">
          <a:extLst>
            <a:ext uri="{FF2B5EF4-FFF2-40B4-BE49-F238E27FC236}">
              <a16:creationId xmlns:a16="http://schemas.microsoft.com/office/drawing/2014/main" id="{7CB64E10-8E1C-4396-9BD6-A647D4792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0466" y="13974101"/>
          <a:ext cx="279401" cy="28376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2</xdr:col>
      <xdr:colOff>1295400</xdr:colOff>
      <xdr:row>37</xdr:row>
      <xdr:rowOff>84667</xdr:rowOff>
    </xdr:from>
    <xdr:ext cx="300111" cy="304800"/>
    <xdr:pic>
      <xdr:nvPicPr>
        <xdr:cNvPr id="5" name="Image 4">
          <a:extLst>
            <a:ext uri="{FF2B5EF4-FFF2-40B4-BE49-F238E27FC236}">
              <a16:creationId xmlns:a16="http://schemas.microsoft.com/office/drawing/2014/main" id="{0BCEC278-D13C-43D9-9699-4947A1465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0" y="13549207"/>
          <a:ext cx="300111" cy="3048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3</xdr:col>
      <xdr:colOff>448733</xdr:colOff>
      <xdr:row>39</xdr:row>
      <xdr:rowOff>29501</xdr:rowOff>
    </xdr:from>
    <xdr:ext cx="279401" cy="283766"/>
    <xdr:pic>
      <xdr:nvPicPr>
        <xdr:cNvPr id="6" name="Image 5">
          <a:extLst>
            <a:ext uri="{FF2B5EF4-FFF2-40B4-BE49-F238E27FC236}">
              <a16:creationId xmlns:a16="http://schemas.microsoft.com/office/drawing/2014/main" id="{4627AD34-2D88-45D3-9FC9-898E52033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3953" y="14301761"/>
          <a:ext cx="279401" cy="28376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190500</xdr:rowOff>
    </xdr:from>
    <xdr:to>
      <xdr:col>6</xdr:col>
      <xdr:colOff>1247775</xdr:colOff>
      <xdr:row>24</xdr:row>
      <xdr:rowOff>66675</xdr:rowOff>
    </xdr:to>
    <xdr:graphicFrame macro="">
      <xdr:nvGraphicFramePr>
        <xdr:cNvPr id="292865" name="Graphique 1">
          <a:extLst>
            <a:ext uri="{FF2B5EF4-FFF2-40B4-BE49-F238E27FC236}">
              <a16:creationId xmlns:a16="http://schemas.microsoft.com/office/drawing/2014/main" id="{00000000-0008-0000-0800-0000017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0</xdr:row>
      <xdr:rowOff>447675</xdr:rowOff>
    </xdr:to>
    <xdr:pic>
      <xdr:nvPicPr>
        <xdr:cNvPr id="292866" name="Image 3">
          <a:extLst>
            <a:ext uri="{FF2B5EF4-FFF2-40B4-BE49-F238E27FC236}">
              <a16:creationId xmlns:a16="http://schemas.microsoft.com/office/drawing/2014/main" id="{00000000-0008-0000-0800-00000278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face.fr/Etudes-economiques-et-risque-pay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showGridLines="0" zoomScaleNormal="100" zoomScalePageLayoutView="60" workbookViewId="0">
      <selection sqref="A1:B1"/>
    </sheetView>
  </sheetViews>
  <sheetFormatPr baseColWidth="10" defaultColWidth="11.44140625" defaultRowHeight="14.4" x14ac:dyDescent="0.3"/>
  <cols>
    <col min="1" max="1" width="11.33203125" style="1" customWidth="1"/>
    <col min="2" max="2" width="20.44140625" style="1" customWidth="1"/>
    <col min="3" max="3" width="45.6640625" style="1" customWidth="1"/>
    <col min="4" max="4" width="15.88671875" style="1" customWidth="1"/>
    <col min="5" max="5" width="12.109375" style="1" customWidth="1"/>
    <col min="6" max="6" width="35.33203125" style="1" customWidth="1"/>
    <col min="7" max="16384" width="11.44140625" style="1"/>
  </cols>
  <sheetData>
    <row r="1" spans="1:6" ht="42.75" customHeight="1" thickBot="1" x14ac:dyDescent="0.35">
      <c r="A1" s="182" t="s">
        <v>14</v>
      </c>
      <c r="B1" s="183"/>
      <c r="C1" s="47" t="s">
        <v>97</v>
      </c>
      <c r="D1" s="184">
        <f ca="1">TODAY()</f>
        <v>44572</v>
      </c>
      <c r="E1" s="185"/>
      <c r="F1" s="2"/>
    </row>
    <row r="3" spans="1:6" x14ac:dyDescent="0.3">
      <c r="A3" s="58" t="s">
        <v>35</v>
      </c>
    </row>
    <row r="5" spans="1:6" x14ac:dyDescent="0.3">
      <c r="B5" s="87" t="s">
        <v>72</v>
      </c>
    </row>
    <row r="6" spans="1:6" x14ac:dyDescent="0.3">
      <c r="B6" s="87"/>
    </row>
    <row r="7" spans="1:6" x14ac:dyDescent="0.3">
      <c r="B7" s="90" t="s">
        <v>82</v>
      </c>
    </row>
    <row r="8" spans="1:6" x14ac:dyDescent="0.3">
      <c r="B8" s="90"/>
    </row>
    <row r="9" spans="1:6" x14ac:dyDescent="0.3">
      <c r="B9" s="90"/>
    </row>
    <row r="10" spans="1:6" x14ac:dyDescent="0.3">
      <c r="B10" s="90"/>
    </row>
    <row r="11" spans="1:6" x14ac:dyDescent="0.3">
      <c r="B11" s="90"/>
    </row>
    <row r="12" spans="1:6" x14ac:dyDescent="0.3">
      <c r="B12" s="90"/>
    </row>
    <row r="13" spans="1:6" x14ac:dyDescent="0.3">
      <c r="B13" s="90"/>
    </row>
    <row r="14" spans="1:6" x14ac:dyDescent="0.3">
      <c r="B14" s="90"/>
    </row>
    <row r="15" spans="1:6" x14ac:dyDescent="0.3">
      <c r="B15" s="90"/>
    </row>
    <row r="16" spans="1:6" x14ac:dyDescent="0.3">
      <c r="B16" s="90"/>
    </row>
    <row r="17" spans="2:7" x14ac:dyDescent="0.3">
      <c r="B17" s="90"/>
    </row>
    <row r="18" spans="2:7" x14ac:dyDescent="0.3">
      <c r="B18" s="90"/>
    </row>
    <row r="19" spans="2:7" x14ac:dyDescent="0.3">
      <c r="B19" s="90"/>
    </row>
    <row r="20" spans="2:7" x14ac:dyDescent="0.3">
      <c r="B20" s="90"/>
    </row>
    <row r="21" spans="2:7" x14ac:dyDescent="0.3">
      <c r="B21" s="90"/>
    </row>
    <row r="22" spans="2:7" x14ac:dyDescent="0.3">
      <c r="B22" s="90"/>
    </row>
    <row r="23" spans="2:7" x14ac:dyDescent="0.3">
      <c r="B23" s="90"/>
    </row>
    <row r="24" spans="2:7" x14ac:dyDescent="0.3">
      <c r="B24" s="82" t="s">
        <v>73</v>
      </c>
      <c r="C24" s="83"/>
      <c r="D24" s="72"/>
      <c r="E24" s="72"/>
      <c r="F24" s="72"/>
      <c r="G24" s="59"/>
    </row>
    <row r="25" spans="2:7" x14ac:dyDescent="0.3">
      <c r="B25" s="82"/>
      <c r="C25" s="83"/>
      <c r="D25" s="72"/>
      <c r="E25" s="72"/>
      <c r="F25" s="72"/>
      <c r="G25" s="59"/>
    </row>
    <row r="26" spans="2:7" x14ac:dyDescent="0.3">
      <c r="B26" s="1" t="s">
        <v>74</v>
      </c>
      <c r="C26" s="71"/>
      <c r="D26" s="72"/>
      <c r="E26" s="72"/>
      <c r="F26" s="72"/>
      <c r="G26" s="59"/>
    </row>
    <row r="27" spans="2:7" x14ac:dyDescent="0.3">
      <c r="C27" s="71"/>
      <c r="D27" s="72"/>
      <c r="E27" s="72"/>
      <c r="F27" s="72"/>
      <c r="G27" s="59"/>
    </row>
    <row r="28" spans="2:7" x14ac:dyDescent="0.3">
      <c r="C28" s="71"/>
      <c r="D28" s="72"/>
      <c r="E28" s="72"/>
      <c r="F28" s="72"/>
      <c r="G28" s="59"/>
    </row>
    <row r="29" spans="2:7" x14ac:dyDescent="0.3">
      <c r="C29" s="71"/>
      <c r="D29" s="72"/>
      <c r="E29" s="72"/>
      <c r="F29" s="72"/>
      <c r="G29" s="59"/>
    </row>
    <row r="30" spans="2:7" x14ac:dyDescent="0.3">
      <c r="C30" s="71"/>
      <c r="D30" s="72"/>
      <c r="E30" s="72"/>
      <c r="F30" s="72"/>
      <c r="G30" s="59"/>
    </row>
    <row r="31" spans="2:7" x14ac:dyDescent="0.3">
      <c r="C31" s="71"/>
      <c r="D31" s="72"/>
      <c r="E31" s="72"/>
      <c r="F31" s="72"/>
      <c r="G31" s="59"/>
    </row>
    <row r="32" spans="2:7" x14ac:dyDescent="0.3">
      <c r="C32" s="71"/>
      <c r="D32" s="72"/>
      <c r="E32" s="72"/>
      <c r="F32" s="72"/>
      <c r="G32" s="59"/>
    </row>
    <row r="33" spans="3:7" x14ac:dyDescent="0.3">
      <c r="C33" s="71"/>
      <c r="D33" s="72"/>
      <c r="E33" s="72"/>
      <c r="F33" s="72"/>
      <c r="G33" s="59"/>
    </row>
    <row r="34" spans="3:7" x14ac:dyDescent="0.3">
      <c r="C34" s="71"/>
      <c r="D34" s="72"/>
      <c r="E34" s="72"/>
      <c r="F34" s="72"/>
      <c r="G34" s="59"/>
    </row>
    <row r="35" spans="3:7" x14ac:dyDescent="0.3">
      <c r="C35" s="71"/>
      <c r="D35" s="72"/>
      <c r="E35" s="72"/>
      <c r="F35" s="72"/>
      <c r="G35" s="59"/>
    </row>
    <row r="36" spans="3:7" x14ac:dyDescent="0.3">
      <c r="C36" s="71"/>
      <c r="D36" s="72"/>
      <c r="E36" s="72"/>
      <c r="F36" s="72"/>
      <c r="G36" s="59"/>
    </row>
    <row r="37" spans="3:7" x14ac:dyDescent="0.3">
      <c r="C37" s="71"/>
      <c r="D37" s="72"/>
      <c r="E37" s="72"/>
      <c r="F37" s="72"/>
      <c r="G37" s="59"/>
    </row>
    <row r="38" spans="3:7" x14ac:dyDescent="0.3">
      <c r="C38" s="71"/>
      <c r="D38" s="72"/>
      <c r="E38" s="72"/>
      <c r="F38" s="72"/>
      <c r="G38" s="59"/>
    </row>
    <row r="39" spans="3:7" x14ac:dyDescent="0.3">
      <c r="C39" s="71"/>
      <c r="D39" s="72"/>
      <c r="E39" s="72"/>
      <c r="F39" s="72"/>
      <c r="G39" s="59"/>
    </row>
    <row r="40" spans="3:7" x14ac:dyDescent="0.3">
      <c r="C40" s="71"/>
      <c r="D40" s="72"/>
      <c r="E40" s="72"/>
      <c r="F40" s="72"/>
      <c r="G40" s="59"/>
    </row>
    <row r="41" spans="3:7" x14ac:dyDescent="0.3">
      <c r="C41" s="71"/>
      <c r="D41" s="72"/>
      <c r="E41" s="72"/>
      <c r="F41" s="72"/>
      <c r="G41" s="59"/>
    </row>
    <row r="42" spans="3:7" x14ac:dyDescent="0.3">
      <c r="C42" s="71"/>
      <c r="D42" s="72"/>
      <c r="E42" s="72"/>
      <c r="F42" s="72"/>
      <c r="G42" s="59"/>
    </row>
    <row r="43" spans="3:7" x14ac:dyDescent="0.3">
      <c r="C43" s="71"/>
      <c r="D43" s="72"/>
      <c r="E43" s="72"/>
      <c r="F43" s="72"/>
      <c r="G43" s="59"/>
    </row>
    <row r="44" spans="3:7" x14ac:dyDescent="0.3">
      <c r="C44" s="71"/>
      <c r="D44" s="72"/>
      <c r="E44" s="72"/>
      <c r="F44" s="72"/>
      <c r="G44" s="59"/>
    </row>
    <row r="45" spans="3:7" x14ac:dyDescent="0.3">
      <c r="C45" s="71"/>
      <c r="D45" s="72"/>
      <c r="E45" s="72"/>
      <c r="F45" s="72"/>
      <c r="G45" s="59"/>
    </row>
    <row r="46" spans="3:7" x14ac:dyDescent="0.3">
      <c r="C46" s="71"/>
      <c r="D46" s="72"/>
      <c r="E46" s="72"/>
      <c r="F46" s="72"/>
      <c r="G46" s="59"/>
    </row>
    <row r="47" spans="3:7" x14ac:dyDescent="0.3">
      <c r="C47" s="71"/>
      <c r="D47" s="72"/>
      <c r="E47" s="72"/>
      <c r="F47" s="72"/>
      <c r="G47" s="59"/>
    </row>
    <row r="48" spans="3:7" x14ac:dyDescent="0.3">
      <c r="C48" s="71"/>
      <c r="D48" s="72"/>
      <c r="E48" s="72"/>
      <c r="F48" s="72"/>
      <c r="G48" s="59"/>
    </row>
    <row r="49" spans="2:7" x14ac:dyDescent="0.3">
      <c r="B49" s="1" t="s">
        <v>75</v>
      </c>
      <c r="C49" s="71"/>
      <c r="D49" s="72"/>
      <c r="E49" s="72"/>
      <c r="F49" s="72"/>
      <c r="G49" s="59"/>
    </row>
    <row r="50" spans="2:7" x14ac:dyDescent="0.3">
      <c r="C50" s="71"/>
      <c r="D50" s="72"/>
      <c r="E50" s="72"/>
      <c r="F50" s="72"/>
      <c r="G50" s="59"/>
    </row>
    <row r="51" spans="2:7" x14ac:dyDescent="0.3">
      <c r="C51" s="71"/>
      <c r="D51" s="72"/>
      <c r="E51" s="72"/>
      <c r="F51" s="72"/>
      <c r="G51" s="59"/>
    </row>
    <row r="52" spans="2:7" x14ac:dyDescent="0.3">
      <c r="C52" s="71"/>
      <c r="D52" s="72"/>
      <c r="E52" s="72"/>
      <c r="F52" s="72"/>
      <c r="G52" s="59"/>
    </row>
    <row r="53" spans="2:7" x14ac:dyDescent="0.3">
      <c r="C53" s="71"/>
      <c r="D53" s="72"/>
      <c r="E53" s="72"/>
      <c r="F53" s="72"/>
      <c r="G53" s="59"/>
    </row>
    <row r="54" spans="2:7" x14ac:dyDescent="0.3">
      <c r="C54" s="71"/>
      <c r="D54" s="72"/>
      <c r="E54" s="72"/>
      <c r="F54" s="72"/>
      <c r="G54" s="59"/>
    </row>
    <row r="55" spans="2:7" x14ac:dyDescent="0.3">
      <c r="C55" s="71"/>
      <c r="D55" s="72"/>
      <c r="E55" s="72"/>
      <c r="F55" s="72"/>
      <c r="G55" s="59"/>
    </row>
    <row r="56" spans="2:7" x14ac:dyDescent="0.3">
      <c r="B56" s="1" t="s">
        <v>76</v>
      </c>
      <c r="C56" s="71"/>
      <c r="D56" s="72"/>
      <c r="E56" s="72"/>
      <c r="F56" s="72"/>
      <c r="G56" s="59"/>
    </row>
    <row r="57" spans="2:7" x14ac:dyDescent="0.3">
      <c r="B57" s="1" t="s">
        <v>77</v>
      </c>
      <c r="C57" s="71"/>
      <c r="D57" s="72"/>
      <c r="E57" s="72"/>
      <c r="F57" s="72"/>
      <c r="G57" s="59"/>
    </row>
    <row r="58" spans="2:7" x14ac:dyDescent="0.3">
      <c r="C58" s="71"/>
      <c r="D58" s="72"/>
      <c r="E58" s="72"/>
      <c r="F58" s="72"/>
      <c r="G58" s="59"/>
    </row>
    <row r="59" spans="2:7" x14ac:dyDescent="0.3">
      <c r="C59" s="71"/>
      <c r="D59" s="72"/>
      <c r="E59" s="72"/>
      <c r="F59" s="72"/>
      <c r="G59" s="59"/>
    </row>
    <row r="60" spans="2:7" x14ac:dyDescent="0.3">
      <c r="C60" s="71"/>
      <c r="D60" s="72"/>
      <c r="E60" s="72"/>
      <c r="F60" s="72"/>
      <c r="G60" s="59"/>
    </row>
    <row r="61" spans="2:7" x14ac:dyDescent="0.3">
      <c r="C61" s="71"/>
      <c r="D61" s="72"/>
      <c r="E61" s="72"/>
      <c r="F61" s="72"/>
      <c r="G61" s="59"/>
    </row>
    <row r="62" spans="2:7" x14ac:dyDescent="0.3">
      <c r="C62" s="71"/>
      <c r="D62" s="72"/>
      <c r="E62" s="72"/>
      <c r="F62" s="72"/>
      <c r="G62" s="59"/>
    </row>
    <row r="63" spans="2:7" x14ac:dyDescent="0.3">
      <c r="C63" s="71"/>
      <c r="D63" s="72"/>
      <c r="E63" s="72"/>
      <c r="F63" s="72"/>
      <c r="G63" s="59"/>
    </row>
    <row r="64" spans="2:7" x14ac:dyDescent="0.3">
      <c r="C64" s="71"/>
      <c r="D64" s="72"/>
      <c r="E64" s="72"/>
      <c r="F64" s="72"/>
      <c r="G64" s="59"/>
    </row>
    <row r="65" spans="1:7" x14ac:dyDescent="0.3">
      <c r="C65" s="71"/>
      <c r="D65" s="72"/>
      <c r="E65" s="72"/>
      <c r="F65" s="72"/>
      <c r="G65" s="59"/>
    </row>
    <row r="66" spans="1:7" x14ac:dyDescent="0.3">
      <c r="C66" s="71"/>
      <c r="D66" s="72"/>
      <c r="E66" s="72"/>
      <c r="F66" s="72"/>
      <c r="G66" s="59"/>
    </row>
    <row r="67" spans="1:7" x14ac:dyDescent="0.3">
      <c r="C67" s="71"/>
      <c r="D67" s="72"/>
      <c r="E67" s="72"/>
      <c r="F67" s="72"/>
      <c r="G67" s="59"/>
    </row>
    <row r="68" spans="1:7" x14ac:dyDescent="0.3">
      <c r="C68" s="71"/>
      <c r="D68" s="72"/>
      <c r="E68" s="72"/>
      <c r="F68" s="72"/>
      <c r="G68" s="59"/>
    </row>
    <row r="69" spans="1:7" x14ac:dyDescent="0.3">
      <c r="C69" s="71"/>
      <c r="D69" s="72"/>
      <c r="E69" s="72"/>
      <c r="F69" s="72"/>
      <c r="G69" s="59"/>
    </row>
    <row r="70" spans="1:7" x14ac:dyDescent="0.3">
      <c r="C70" s="71"/>
      <c r="D70" s="72"/>
      <c r="E70" s="72"/>
      <c r="F70" s="72"/>
      <c r="G70" s="59"/>
    </row>
    <row r="71" spans="1:7" x14ac:dyDescent="0.3">
      <c r="C71" s="71"/>
      <c r="D71" s="72"/>
      <c r="E71" s="72"/>
      <c r="F71" s="72"/>
      <c r="G71" s="59"/>
    </row>
    <row r="72" spans="1:7" x14ac:dyDescent="0.3">
      <c r="C72" s="71"/>
      <c r="D72" s="72"/>
      <c r="E72" s="72"/>
      <c r="F72" s="72"/>
      <c r="G72" s="59"/>
    </row>
    <row r="73" spans="1:7" x14ac:dyDescent="0.3">
      <c r="C73" s="71"/>
      <c r="D73" s="72"/>
      <c r="E73" s="72"/>
      <c r="F73" s="72"/>
      <c r="G73" s="59"/>
    </row>
    <row r="74" spans="1:7" x14ac:dyDescent="0.3">
      <c r="C74" s="71"/>
      <c r="D74" s="72"/>
      <c r="E74" s="72"/>
      <c r="F74" s="72"/>
      <c r="G74" s="59"/>
    </row>
    <row r="75" spans="1:7" x14ac:dyDescent="0.3">
      <c r="B75" s="1" t="s">
        <v>78</v>
      </c>
      <c r="C75" s="71"/>
      <c r="D75" s="72"/>
      <c r="E75" s="72"/>
      <c r="F75" s="72"/>
      <c r="G75" s="59"/>
    </row>
    <row r="76" spans="1:7" x14ac:dyDescent="0.3">
      <c r="C76" s="71"/>
      <c r="D76" s="72"/>
      <c r="E76" s="72"/>
      <c r="F76" s="72"/>
      <c r="G76" s="59"/>
    </row>
    <row r="77" spans="1:7" x14ac:dyDescent="0.3">
      <c r="A77" s="1" t="s">
        <v>128</v>
      </c>
    </row>
    <row r="79" spans="1:7" x14ac:dyDescent="0.3">
      <c r="A79" s="58" t="s">
        <v>37</v>
      </c>
    </row>
    <row r="80" spans="1:7" ht="15" x14ac:dyDescent="0.3">
      <c r="B80" s="84"/>
    </row>
    <row r="82" spans="2:4" x14ac:dyDescent="0.3">
      <c r="B82" s="87" t="s">
        <v>80</v>
      </c>
    </row>
    <row r="83" spans="2:4" x14ac:dyDescent="0.3">
      <c r="B83" s="1" t="s">
        <v>79</v>
      </c>
    </row>
    <row r="84" spans="2:4" ht="15" x14ac:dyDescent="0.3">
      <c r="B84" s="84"/>
      <c r="C84" s="52" t="s">
        <v>3</v>
      </c>
      <c r="D84" s="51"/>
    </row>
    <row r="85" spans="2:4" x14ac:dyDescent="0.3">
      <c r="C85" s="53" t="s">
        <v>26</v>
      </c>
      <c r="D85" s="53" t="s">
        <v>25</v>
      </c>
    </row>
    <row r="86" spans="2:4" x14ac:dyDescent="0.3">
      <c r="C86" s="55" t="s">
        <v>28</v>
      </c>
      <c r="D86" s="56">
        <v>0.25</v>
      </c>
    </row>
    <row r="87" spans="2:4" x14ac:dyDescent="0.3">
      <c r="C87" s="55" t="s">
        <v>30</v>
      </c>
      <c r="D87" s="56">
        <v>0.5</v>
      </c>
    </row>
    <row r="88" spans="2:4" ht="15" customHeight="1" x14ac:dyDescent="0.3">
      <c r="C88" s="55" t="s">
        <v>29</v>
      </c>
      <c r="D88" s="56">
        <v>0.75</v>
      </c>
    </row>
    <row r="89" spans="2:4" x14ac:dyDescent="0.3">
      <c r="C89" s="55" t="s">
        <v>43</v>
      </c>
      <c r="D89" s="56">
        <v>1</v>
      </c>
    </row>
    <row r="90" spans="2:4" x14ac:dyDescent="0.3">
      <c r="C90" s="55"/>
      <c r="D90" s="54"/>
    </row>
    <row r="91" spans="2:4" x14ac:dyDescent="0.3">
      <c r="C91" s="52" t="s">
        <v>27</v>
      </c>
      <c r="D91" s="51"/>
    </row>
    <row r="92" spans="2:4" x14ac:dyDescent="0.3">
      <c r="C92" s="53" t="s">
        <v>26</v>
      </c>
      <c r="D92" s="53" t="s">
        <v>25</v>
      </c>
    </row>
    <row r="93" spans="2:4" x14ac:dyDescent="0.3">
      <c r="C93" s="57" t="s">
        <v>33</v>
      </c>
      <c r="D93" s="56">
        <v>0.25</v>
      </c>
    </row>
    <row r="94" spans="2:4" x14ac:dyDescent="0.3">
      <c r="C94" s="55" t="s">
        <v>31</v>
      </c>
      <c r="D94" s="56">
        <v>0.5</v>
      </c>
    </row>
    <row r="95" spans="2:4" x14ac:dyDescent="0.3">
      <c r="C95" s="55" t="s">
        <v>32</v>
      </c>
      <c r="D95" s="56">
        <v>0.75</v>
      </c>
    </row>
    <row r="96" spans="2:4" x14ac:dyDescent="0.3">
      <c r="C96" s="55" t="s">
        <v>34</v>
      </c>
      <c r="D96" s="56">
        <v>1</v>
      </c>
    </row>
    <row r="97" spans="2:4" x14ac:dyDescent="0.3">
      <c r="C97" s="85"/>
      <c r="D97" s="86"/>
    </row>
    <row r="98" spans="2:4" x14ac:dyDescent="0.3">
      <c r="B98" s="1" t="s">
        <v>96</v>
      </c>
      <c r="C98" s="85"/>
      <c r="D98" s="86"/>
    </row>
    <row r="99" spans="2:4" x14ac:dyDescent="0.3">
      <c r="C99" s="85"/>
      <c r="D99" s="86"/>
    </row>
    <row r="100" spans="2:4" x14ac:dyDescent="0.3">
      <c r="B100" s="1" t="s">
        <v>81</v>
      </c>
      <c r="C100" s="85"/>
      <c r="D100" s="86"/>
    </row>
    <row r="101" spans="2:4" x14ac:dyDescent="0.3">
      <c r="C101" s="85"/>
      <c r="D101" s="86"/>
    </row>
    <row r="102" spans="2:4" ht="15" customHeight="1" x14ac:dyDescent="0.3">
      <c r="C102" s="85"/>
      <c r="D102" s="86"/>
    </row>
    <row r="103" spans="2:4" ht="15.75" customHeight="1" x14ac:dyDescent="0.3">
      <c r="C103" s="85"/>
      <c r="D103" s="86"/>
    </row>
    <row r="104" spans="2:4" ht="15" customHeight="1" x14ac:dyDescent="0.3">
      <c r="C104" s="85"/>
      <c r="D104" s="86"/>
    </row>
    <row r="105" spans="2:4" x14ac:dyDescent="0.3">
      <c r="C105" s="85"/>
      <c r="D105" s="86"/>
    </row>
    <row r="106" spans="2:4" ht="27.6" customHeight="1" x14ac:dyDescent="0.3">
      <c r="C106" s="85"/>
      <c r="D106" s="86"/>
    </row>
    <row r="107" spans="2:4" x14ac:dyDescent="0.3">
      <c r="C107" s="85"/>
      <c r="D107" s="86"/>
    </row>
    <row r="113" spans="7:14" ht="14.4" customHeight="1" x14ac:dyDescent="0.3"/>
    <row r="116" spans="7:14" ht="14.4" customHeight="1" x14ac:dyDescent="0.3"/>
    <row r="118" spans="7:14" ht="15" customHeight="1" x14ac:dyDescent="0.3">
      <c r="G118" s="91"/>
      <c r="H118" s="91"/>
      <c r="I118" s="91"/>
      <c r="J118" s="91"/>
      <c r="K118" s="91"/>
      <c r="L118" s="91"/>
      <c r="M118" s="91"/>
      <c r="N118" s="91"/>
    </row>
    <row r="119" spans="7:14" x14ac:dyDescent="0.3">
      <c r="G119" s="91"/>
      <c r="H119" s="91"/>
      <c r="I119" s="91"/>
      <c r="J119" s="91"/>
      <c r="K119" s="91"/>
      <c r="L119" s="91"/>
      <c r="M119" s="91"/>
      <c r="N119" s="91"/>
    </row>
    <row r="120" spans="7:14" ht="15.75" customHeight="1" x14ac:dyDescent="0.3">
      <c r="G120" s="91"/>
      <c r="H120" s="91"/>
      <c r="I120" s="91"/>
      <c r="J120" s="91"/>
      <c r="K120" s="91"/>
      <c r="L120" s="91"/>
      <c r="M120" s="91"/>
      <c r="N120" s="91"/>
    </row>
    <row r="121" spans="7:14" x14ac:dyDescent="0.3">
      <c r="G121" s="91"/>
      <c r="H121" s="91"/>
      <c r="I121" s="91"/>
      <c r="J121" s="91"/>
      <c r="K121" s="91"/>
      <c r="L121" s="91"/>
      <c r="M121" s="91"/>
      <c r="N121" s="91"/>
    </row>
    <row r="122" spans="7:14" x14ac:dyDescent="0.3">
      <c r="G122" s="91"/>
      <c r="H122" s="91"/>
      <c r="I122" s="91"/>
      <c r="J122" s="91"/>
      <c r="K122" s="91"/>
      <c r="L122" s="91"/>
      <c r="M122" s="91"/>
      <c r="N122" s="91"/>
    </row>
    <row r="123" spans="7:14" x14ac:dyDescent="0.3">
      <c r="G123" s="91"/>
      <c r="H123" s="91"/>
      <c r="I123" s="91"/>
      <c r="J123" s="91"/>
      <c r="K123" s="91"/>
      <c r="L123" s="91"/>
      <c r="M123" s="91"/>
      <c r="N123" s="91"/>
    </row>
    <row r="124" spans="7:14" x14ac:dyDescent="0.3">
      <c r="G124" s="91"/>
      <c r="H124" s="91"/>
      <c r="I124" s="91"/>
      <c r="J124" s="91"/>
      <c r="K124" s="91"/>
      <c r="L124" s="91"/>
      <c r="M124" s="91"/>
      <c r="N124" s="91"/>
    </row>
    <row r="125" spans="7:14" x14ac:dyDescent="0.3">
      <c r="G125" s="91"/>
      <c r="H125" s="91"/>
      <c r="I125" s="91"/>
      <c r="J125" s="91"/>
      <c r="K125" s="91"/>
      <c r="L125" s="91"/>
      <c r="M125" s="91"/>
      <c r="N125" s="91"/>
    </row>
    <row r="126" spans="7:14" ht="15.75" customHeight="1" x14ac:dyDescent="0.3">
      <c r="G126" s="91"/>
      <c r="H126" s="91"/>
      <c r="I126" s="91"/>
      <c r="J126" s="91"/>
      <c r="K126" s="91"/>
      <c r="L126" s="91"/>
      <c r="M126" s="91"/>
      <c r="N126" s="91"/>
    </row>
    <row r="127" spans="7:14" ht="15" customHeight="1" x14ac:dyDescent="0.3">
      <c r="G127" s="91"/>
      <c r="H127" s="91"/>
      <c r="I127" s="91"/>
      <c r="J127" s="91"/>
      <c r="K127" s="91"/>
      <c r="L127" s="91"/>
      <c r="M127" s="91"/>
      <c r="N127" s="91"/>
    </row>
    <row r="128" spans="7:14" ht="15" customHeight="1" x14ac:dyDescent="0.3">
      <c r="G128" s="91"/>
      <c r="H128" s="91"/>
      <c r="I128" s="91"/>
      <c r="J128" s="91"/>
      <c r="K128" s="91"/>
      <c r="L128" s="91"/>
      <c r="M128" s="91"/>
      <c r="N128" s="91"/>
    </row>
    <row r="129" spans="7:14" ht="15.75" customHeight="1" x14ac:dyDescent="0.3">
      <c r="G129" s="91"/>
      <c r="H129" s="91"/>
      <c r="I129" s="91"/>
      <c r="J129" s="91"/>
      <c r="K129" s="91"/>
      <c r="L129" s="91"/>
      <c r="M129" s="91"/>
      <c r="N129" s="91"/>
    </row>
    <row r="130" spans="7:14" ht="15" customHeight="1" x14ac:dyDescent="0.3">
      <c r="G130" s="91"/>
      <c r="H130" s="91"/>
      <c r="I130" s="91"/>
      <c r="J130" s="91"/>
      <c r="K130" s="91"/>
      <c r="L130" s="91"/>
      <c r="M130" s="91"/>
      <c r="N130" s="91"/>
    </row>
    <row r="131" spans="7:14" ht="15.75" customHeight="1" x14ac:dyDescent="0.3"/>
  </sheetData>
  <sheetProtection formatColumns="0" formatRows="0" selectLockedCells="1"/>
  <mergeCells count="2">
    <mergeCell ref="A1:B1"/>
    <mergeCell ref="D1:E1"/>
  </mergeCells>
  <hyperlinks>
    <hyperlink ref="B24" r:id="rId1" display="http://www.coface.fr/Etudes-economiques-et-risque-pays" xr:uid="{00000000-0004-0000-0000-000000000000}"/>
  </hyperlinks>
  <printOptions horizontalCentered="1"/>
  <pageMargins left="0.19685039370078741" right="0.19685039370078741" top="0.94488188976377963" bottom="0.35433070866141736" header="0.31496062992125984" footer="0.31496062992125984"/>
  <pageSetup paperSize="9" orientation="portrait" r:id="rId2"/>
  <headerFooter>
    <oddHeader>&amp;L&amp;G&amp;C&amp;"+,Normal"&amp;9Outil pour le calcul des risques, la comparaison et le classement des fournisseurs
Conçu par SARK team, Master Qualité UTC 2013/2014
www.utc.fr/master-qualite, puis "Travaux", "Qualité-Management", réf n°274, janvier 2014&amp;R&amp;G</oddHeader>
    <oddFooter>&amp;LFichier : AC48_G, Onglet : {&amp;A}&amp;R&amp;P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1"/>
  <sheetViews>
    <sheetView workbookViewId="0">
      <selection activeCell="J16" sqref="J16"/>
    </sheetView>
  </sheetViews>
  <sheetFormatPr baseColWidth="10" defaultRowHeight="14.4" x14ac:dyDescent="0.3"/>
  <cols>
    <col min="2" max="2" width="12.5546875" bestFit="1" customWidth="1"/>
    <col min="3" max="3" width="5.44140625" style="95" bestFit="1" customWidth="1"/>
    <col min="4" max="4" width="5.44140625" style="95" customWidth="1"/>
    <col min="5" max="5" width="14.109375" bestFit="1" customWidth="1"/>
    <col min="6" max="6" width="22" bestFit="1" customWidth="1"/>
    <col min="7" max="8" width="30" bestFit="1" customWidth="1"/>
    <col min="9" max="9" width="17.33203125" customWidth="1"/>
  </cols>
  <sheetData>
    <row r="2" spans="1:11" x14ac:dyDescent="0.3">
      <c r="A2" s="74" t="s">
        <v>69</v>
      </c>
      <c r="B2" s="74" t="s">
        <v>66</v>
      </c>
      <c r="C2" s="92" t="s">
        <v>90</v>
      </c>
      <c r="D2" s="92" t="s">
        <v>90</v>
      </c>
      <c r="E2" s="74" t="s">
        <v>67</v>
      </c>
      <c r="F2" s="74" t="s">
        <v>68</v>
      </c>
      <c r="G2" s="74" t="s">
        <v>70</v>
      </c>
      <c r="H2" s="74" t="s">
        <v>98</v>
      </c>
      <c r="I2" s="152" t="s">
        <v>132</v>
      </c>
      <c r="J2" s="152" t="s">
        <v>137</v>
      </c>
      <c r="K2" s="152" t="s">
        <v>147</v>
      </c>
    </row>
    <row r="3" spans="1:11" x14ac:dyDescent="0.3">
      <c r="A3" s="73" t="s">
        <v>52</v>
      </c>
      <c r="B3" s="73" t="s">
        <v>55</v>
      </c>
      <c r="C3" s="93">
        <v>0.1</v>
      </c>
      <c r="D3" s="93">
        <v>0.1</v>
      </c>
      <c r="E3" s="73" t="s">
        <v>63</v>
      </c>
      <c r="F3" s="73" t="s">
        <v>28</v>
      </c>
      <c r="G3" s="73" t="s">
        <v>33</v>
      </c>
      <c r="H3" s="73" t="s">
        <v>99</v>
      </c>
      <c r="I3" s="150" t="s">
        <v>130</v>
      </c>
      <c r="J3" s="150" t="s">
        <v>138</v>
      </c>
      <c r="K3" s="150" t="s">
        <v>144</v>
      </c>
    </row>
    <row r="4" spans="1:11" x14ac:dyDescent="0.3">
      <c r="A4" s="73" t="s">
        <v>53</v>
      </c>
      <c r="B4" s="73" t="s">
        <v>56</v>
      </c>
      <c r="C4" s="93">
        <v>0.5</v>
      </c>
      <c r="D4" s="93">
        <v>1</v>
      </c>
      <c r="E4" s="73" t="s">
        <v>64</v>
      </c>
      <c r="F4" s="73" t="s">
        <v>30</v>
      </c>
      <c r="G4" s="73" t="s">
        <v>31</v>
      </c>
      <c r="H4" s="73" t="s">
        <v>100</v>
      </c>
      <c r="I4" s="150" t="s">
        <v>129</v>
      </c>
      <c r="J4" s="150" t="s">
        <v>139</v>
      </c>
      <c r="K4" s="150" t="s">
        <v>145</v>
      </c>
    </row>
    <row r="5" spans="1:11" x14ac:dyDescent="0.3">
      <c r="A5" s="73" t="s">
        <v>54</v>
      </c>
      <c r="B5" s="73" t="s">
        <v>57</v>
      </c>
      <c r="C5" s="93">
        <v>1</v>
      </c>
      <c r="D5" s="93"/>
      <c r="E5" s="73" t="s">
        <v>65</v>
      </c>
      <c r="F5" s="73" t="s">
        <v>29</v>
      </c>
      <c r="G5" s="73" t="s">
        <v>32</v>
      </c>
      <c r="H5" s="73" t="s">
        <v>127</v>
      </c>
      <c r="I5" s="150" t="s">
        <v>134</v>
      </c>
      <c r="J5" s="150" t="s">
        <v>151</v>
      </c>
      <c r="K5" s="150" t="s">
        <v>146</v>
      </c>
    </row>
    <row r="6" spans="1:11" x14ac:dyDescent="0.3">
      <c r="A6" s="73"/>
      <c r="B6" s="73" t="s">
        <v>58</v>
      </c>
      <c r="C6" s="94"/>
      <c r="D6" s="94"/>
      <c r="E6" s="73" t="s">
        <v>94</v>
      </c>
      <c r="F6" s="73" t="s">
        <v>43</v>
      </c>
      <c r="G6" s="73" t="s">
        <v>34</v>
      </c>
      <c r="H6" s="73"/>
      <c r="I6" s="150" t="s">
        <v>135</v>
      </c>
      <c r="J6" s="150"/>
    </row>
    <row r="7" spans="1:11" x14ac:dyDescent="0.3">
      <c r="A7" s="73"/>
      <c r="B7" s="73" t="s">
        <v>38</v>
      </c>
      <c r="C7" s="94"/>
      <c r="D7" s="94"/>
      <c r="E7" s="73"/>
      <c r="F7" s="73"/>
      <c r="G7" s="73"/>
      <c r="H7" s="73"/>
    </row>
    <row r="8" spans="1:11" x14ac:dyDescent="0.3">
      <c r="A8" s="73"/>
      <c r="B8" s="73" t="s">
        <v>59</v>
      </c>
      <c r="C8" s="94"/>
      <c r="D8" s="94"/>
      <c r="E8" s="73"/>
      <c r="F8" s="73"/>
      <c r="G8" s="73"/>
      <c r="H8" s="73"/>
    </row>
    <row r="9" spans="1:11" x14ac:dyDescent="0.3">
      <c r="A9" s="73"/>
      <c r="B9" s="73" t="s">
        <v>60</v>
      </c>
      <c r="C9" s="94"/>
      <c r="D9" s="94"/>
      <c r="E9" s="73"/>
      <c r="F9" s="73"/>
      <c r="G9" s="73"/>
      <c r="H9" s="73"/>
    </row>
    <row r="10" spans="1:11" x14ac:dyDescent="0.3">
      <c r="A10" s="73"/>
      <c r="B10" s="73" t="s">
        <v>61</v>
      </c>
      <c r="C10" s="94"/>
      <c r="D10" s="94"/>
      <c r="E10" s="73"/>
      <c r="F10" s="73"/>
      <c r="G10" s="73"/>
      <c r="H10" s="73"/>
    </row>
    <row r="11" spans="1:11" x14ac:dyDescent="0.3">
      <c r="A11" s="73"/>
      <c r="B11" s="73" t="s">
        <v>62</v>
      </c>
      <c r="C11" s="94"/>
      <c r="D11" s="94"/>
      <c r="E11" s="73"/>
      <c r="F11" s="73"/>
      <c r="G11" s="73"/>
      <c r="H11" s="7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9"/>
  <sheetViews>
    <sheetView showGridLines="0" tabSelected="1" zoomScale="70" zoomScaleNormal="70" zoomScalePageLayoutView="90" workbookViewId="0">
      <selection activeCell="H3" sqref="H3"/>
    </sheetView>
  </sheetViews>
  <sheetFormatPr baseColWidth="10" defaultRowHeight="14.4" x14ac:dyDescent="0.3"/>
  <cols>
    <col min="1" max="1" width="29.33203125" style="24" customWidth="1"/>
    <col min="2" max="2" width="5.109375" style="24" customWidth="1"/>
    <col min="3" max="3" width="19" customWidth="1"/>
    <col min="4" max="4" width="37.33203125" customWidth="1"/>
    <col min="5" max="5" width="18.44140625" customWidth="1"/>
    <col min="6" max="6" width="8.33203125" customWidth="1"/>
    <col min="7" max="7" width="9.6640625" customWidth="1"/>
    <col min="8" max="8" width="12.88671875" customWidth="1"/>
    <col min="9" max="9" width="21.88671875" customWidth="1"/>
    <col min="10" max="10" width="8.33203125" customWidth="1"/>
    <col min="11" max="12" width="16.33203125" customWidth="1"/>
    <col min="13" max="13" width="5.109375" customWidth="1"/>
    <col min="14" max="14" width="16.88671875" customWidth="1"/>
    <col min="15" max="15" width="12.109375" customWidth="1"/>
    <col min="16" max="16" width="11.33203125" customWidth="1"/>
    <col min="17" max="17" width="19.5546875" customWidth="1"/>
    <col min="18" max="18" width="12.5546875" customWidth="1"/>
  </cols>
  <sheetData>
    <row r="1" spans="1:18" ht="39" customHeight="1" thickBot="1" x14ac:dyDescent="0.35">
      <c r="A1" s="79"/>
      <c r="B1" s="26"/>
      <c r="C1" s="21"/>
      <c r="D1" s="22"/>
      <c r="E1" s="246" t="s">
        <v>152</v>
      </c>
      <c r="F1" s="247"/>
      <c r="G1" s="247"/>
      <c r="H1" s="247"/>
      <c r="I1" s="247"/>
      <c r="J1" s="247"/>
      <c r="K1" s="248"/>
      <c r="L1" s="222" t="s">
        <v>11</v>
      </c>
      <c r="M1" s="223"/>
      <c r="N1" s="67" t="s">
        <v>13</v>
      </c>
      <c r="O1" s="20"/>
      <c r="P1" s="20"/>
    </row>
    <row r="2" spans="1:18" ht="48" customHeight="1" thickBot="1" x14ac:dyDescent="0.35">
      <c r="A2" s="80"/>
      <c r="B2" s="81"/>
      <c r="C2" s="18"/>
      <c r="D2" s="19"/>
      <c r="E2" s="249" t="s">
        <v>5</v>
      </c>
      <c r="F2" s="250"/>
      <c r="G2" s="250"/>
      <c r="H2" s="250"/>
      <c r="I2" s="250"/>
      <c r="J2" s="250"/>
      <c r="K2" s="251"/>
      <c r="L2" s="222" t="s">
        <v>40</v>
      </c>
      <c r="M2" s="223"/>
      <c r="N2" s="67" t="s">
        <v>39</v>
      </c>
    </row>
    <row r="3" spans="1:18" ht="20.399999999999999" customHeight="1" thickBot="1" x14ac:dyDescent="0.35">
      <c r="A3" s="75"/>
      <c r="B3" s="75"/>
      <c r="H3" s="147"/>
    </row>
    <row r="4" spans="1:18" s="3" customFormat="1" ht="37.200000000000003" customHeight="1" thickBot="1" x14ac:dyDescent="0.35">
      <c r="A4" s="263" t="str">
        <f>"Adresse &amp; contact : "&amp;E2</f>
        <v>Adresse &amp; contact : Fournisseur</v>
      </c>
      <c r="B4" s="264"/>
      <c r="C4" s="65" t="s">
        <v>42</v>
      </c>
      <c r="D4" s="64"/>
      <c r="E4" s="4"/>
      <c r="F4" s="4"/>
      <c r="G4" s="4"/>
      <c r="H4" s="148"/>
      <c r="K4" s="4"/>
      <c r="L4" s="4"/>
      <c r="M4" s="4"/>
      <c r="N4" s="4"/>
      <c r="O4" s="4"/>
      <c r="P4" s="4"/>
      <c r="Q4" s="4"/>
      <c r="R4" s="4"/>
    </row>
    <row r="5" spans="1:18" s="3" customFormat="1" ht="37.200000000000003" customHeight="1" thickBot="1" x14ac:dyDescent="0.35">
      <c r="A5" s="265"/>
      <c r="B5" s="266"/>
      <c r="C5" s="65" t="s">
        <v>41</v>
      </c>
      <c r="D5" s="64"/>
      <c r="H5" s="149"/>
      <c r="I5" s="5"/>
      <c r="J5" s="5"/>
      <c r="K5" s="15"/>
      <c r="L5" s="15"/>
      <c r="M5" s="15"/>
      <c r="N5" s="15"/>
      <c r="O5" s="15"/>
      <c r="P5" s="15"/>
      <c r="Q5" s="15"/>
      <c r="R5" s="15"/>
    </row>
    <row r="6" spans="1:18" s="3" customFormat="1" ht="37.200000000000003" customHeight="1" thickBot="1" x14ac:dyDescent="0.35">
      <c r="A6" s="120" t="s">
        <v>98</v>
      </c>
      <c r="B6" s="121"/>
      <c r="C6" s="122" t="s">
        <v>100</v>
      </c>
      <c r="H6" s="5"/>
      <c r="I6" s="5"/>
      <c r="J6" s="5"/>
      <c r="K6" s="15"/>
      <c r="L6" s="15"/>
      <c r="M6" s="15"/>
      <c r="N6" s="15"/>
      <c r="O6" s="15"/>
      <c r="P6" s="15"/>
      <c r="Q6" s="15"/>
      <c r="R6" s="15"/>
    </row>
    <row r="7" spans="1:18" s="3" customFormat="1" ht="15" customHeight="1" thickBot="1" x14ac:dyDescent="0.35">
      <c r="A7" s="23"/>
      <c r="B7" s="23"/>
      <c r="C7" s="16"/>
      <c r="D7" s="16"/>
      <c r="E7" s="16"/>
      <c r="G7" s="16"/>
    </row>
    <row r="8" spans="1:18" s="3" customFormat="1" ht="30.6" customHeight="1" thickBot="1" x14ac:dyDescent="0.35">
      <c r="A8" s="271" t="s">
        <v>118</v>
      </c>
      <c r="B8" s="272"/>
      <c r="C8" s="66" t="e">
        <f>1-SUM(G20:H28)/40</f>
        <v>#DIV/0!</v>
      </c>
      <c r="D8" s="137"/>
      <c r="E8" s="17"/>
      <c r="G8" s="17"/>
    </row>
    <row r="9" spans="1:18" s="11" customFormat="1" ht="7.5" customHeight="1" thickBot="1" x14ac:dyDescent="0.35">
      <c r="A9" s="118"/>
      <c r="B9" s="118"/>
      <c r="C9" s="119"/>
      <c r="E9" s="17"/>
      <c r="F9" s="17"/>
      <c r="G9" s="17"/>
    </row>
    <row r="10" spans="1:18" s="3" customFormat="1" ht="30.6" customHeight="1" thickBot="1" x14ac:dyDescent="0.35">
      <c r="A10" s="271" t="s">
        <v>104</v>
      </c>
      <c r="B10" s="272"/>
      <c r="C10" s="66" t="e">
        <f>AVERAGE(C11:C17)</f>
        <v>#DIV/0!</v>
      </c>
      <c r="E10" s="124"/>
      <c r="F10" s="124"/>
    </row>
    <row r="11" spans="1:18" s="3" customFormat="1" ht="18.75" customHeight="1" thickBot="1" x14ac:dyDescent="0.35">
      <c r="A11" s="286" t="s">
        <v>15</v>
      </c>
      <c r="B11" s="287"/>
      <c r="C11" s="115" t="e">
        <f>Q30</f>
        <v>#DIV/0!</v>
      </c>
      <c r="D11" s="99"/>
      <c r="E11" s="124"/>
      <c r="F11" s="124"/>
    </row>
    <row r="12" spans="1:18" s="3" customFormat="1" ht="18.75" customHeight="1" x14ac:dyDescent="0.3">
      <c r="A12" s="286" t="s">
        <v>140</v>
      </c>
      <c r="B12" s="287"/>
      <c r="C12" s="166">
        <f>Q38</f>
        <v>0.75</v>
      </c>
      <c r="D12" s="99"/>
      <c r="E12" s="124"/>
      <c r="F12" s="124"/>
    </row>
    <row r="13" spans="1:18" s="3" customFormat="1" ht="19.5" customHeight="1" x14ac:dyDescent="0.3">
      <c r="A13" s="284" t="s">
        <v>106</v>
      </c>
      <c r="B13" s="285"/>
      <c r="C13" s="116">
        <f>Q41</f>
        <v>0.94462500000000005</v>
      </c>
      <c r="D13" s="99" t="str">
        <f>IF(C13&lt;0.9,"Voir Action PDCA","")</f>
        <v/>
      </c>
      <c r="E13" s="124"/>
      <c r="F13" s="124"/>
      <c r="N13" s="124"/>
    </row>
    <row r="14" spans="1:18" s="3" customFormat="1" ht="18.600000000000001" customHeight="1" x14ac:dyDescent="0.3">
      <c r="A14" s="284" t="s">
        <v>107</v>
      </c>
      <c r="B14" s="285"/>
      <c r="C14" s="116" t="str">
        <f>Q46</f>
        <v/>
      </c>
      <c r="D14" s="142" t="str">
        <f>IF(C14&lt;0.9,"Voir Action PDCA","")</f>
        <v/>
      </c>
      <c r="E14" s="124"/>
      <c r="F14" s="124"/>
    </row>
    <row r="15" spans="1:18" s="3" customFormat="1" ht="19.5" customHeight="1" x14ac:dyDescent="0.3">
      <c r="A15" s="284" t="s">
        <v>117</v>
      </c>
      <c r="B15" s="285"/>
      <c r="C15" s="123">
        <f>Q50</f>
        <v>0.84375</v>
      </c>
      <c r="D15" s="142" t="str">
        <f t="shared" ref="D15:D17" si="0">IF(C15&lt;0.9,"Voir Action PDCA","")</f>
        <v>Voir Action PDCA</v>
      </c>
      <c r="E15" s="124"/>
      <c r="F15" s="124"/>
      <c r="N15" s="138"/>
    </row>
    <row r="16" spans="1:18" s="3" customFormat="1" ht="19.5" customHeight="1" x14ac:dyDescent="0.3">
      <c r="A16" s="284" t="s">
        <v>108</v>
      </c>
      <c r="B16" s="285"/>
      <c r="C16" s="123">
        <f>Q52</f>
        <v>0.86875000000000002</v>
      </c>
      <c r="D16" s="99" t="str">
        <f t="shared" si="0"/>
        <v>Voir Action PDCA</v>
      </c>
      <c r="E16" s="124"/>
      <c r="F16" s="124"/>
      <c r="N16" s="138"/>
    </row>
    <row r="17" spans="1:18" s="3" customFormat="1" ht="18.75" customHeight="1" thickBot="1" x14ac:dyDescent="0.35">
      <c r="A17" s="289" t="s">
        <v>89</v>
      </c>
      <c r="B17" s="290"/>
      <c r="C17" s="117">
        <f>Q55</f>
        <v>0.94374999999999998</v>
      </c>
      <c r="D17" s="99" t="str">
        <f t="shared" si="0"/>
        <v/>
      </c>
      <c r="E17" s="124"/>
      <c r="F17" s="124"/>
      <c r="N17" s="138"/>
    </row>
    <row r="18" spans="1:18" s="6" customFormat="1" ht="15" customHeight="1" thickBot="1" x14ac:dyDescent="0.35">
      <c r="A18" s="25"/>
      <c r="B18" s="25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139"/>
      <c r="O18" s="63"/>
      <c r="P18" s="63"/>
      <c r="Q18" s="63"/>
      <c r="R18" s="63"/>
    </row>
    <row r="19" spans="1:18" s="3" customFormat="1" ht="33.75" customHeight="1" thickBot="1" x14ac:dyDescent="0.35">
      <c r="A19" s="68" t="s">
        <v>0</v>
      </c>
      <c r="B19" s="273" t="s">
        <v>12</v>
      </c>
      <c r="C19" s="189"/>
      <c r="D19" s="190"/>
      <c r="E19" s="226" t="s">
        <v>49</v>
      </c>
      <c r="F19" s="227"/>
      <c r="G19" s="306" t="s">
        <v>36</v>
      </c>
      <c r="H19" s="307"/>
      <c r="I19" s="303" t="s">
        <v>22</v>
      </c>
      <c r="J19" s="304"/>
      <c r="K19" s="305"/>
      <c r="N19" s="138"/>
    </row>
    <row r="20" spans="1:18" s="42" customFormat="1" ht="31.95" customHeight="1" x14ac:dyDescent="0.3">
      <c r="A20" s="195"/>
      <c r="B20" s="76"/>
      <c r="C20" s="278" t="s">
        <v>21</v>
      </c>
      <c r="D20" s="279"/>
      <c r="E20" s="228"/>
      <c r="F20" s="229"/>
      <c r="G20" s="308">
        <f>IF(C6="Fabricant",IF(E20&lt;=5,1,IF(E20&lt;=10,3,5)),IF(C6="Distributeur",IF(E20&lt;=99,1,IF(E20&lt;=499,3,5)),IF(C6="Sous-traitance de compétence",IF(E20&lt;=5,1,IF(E20&lt;=10,3,5)),"Fill Supplier type")))</f>
        <v>1</v>
      </c>
      <c r="H20" s="309"/>
      <c r="I20" s="241"/>
      <c r="J20" s="242"/>
      <c r="K20" s="243"/>
      <c r="N20" s="140"/>
    </row>
    <row r="21" spans="1:18" s="42" customFormat="1" ht="31.5" customHeight="1" x14ac:dyDescent="0.3">
      <c r="A21" s="195"/>
      <c r="B21" s="77"/>
      <c r="C21" s="280" t="s">
        <v>95</v>
      </c>
      <c r="D21" s="281"/>
      <c r="E21" s="230"/>
      <c r="F21" s="231"/>
      <c r="G21" s="186">
        <f>IF(C6="Fabricant",IF(E21&lt;10,1,IF(E21&lt;50,3,5)),IF(C6="Distributeur",IF(E21&lt;200,1,IF(E21&lt;800,3,5)),IF(C6="Sous-traitance de compétence",IF(E21&lt;10,1,IF(E21&lt;50,3,5)),"Fill Supplier type")))</f>
        <v>1</v>
      </c>
      <c r="H21" s="187"/>
      <c r="I21" s="238"/>
      <c r="J21" s="239"/>
      <c r="K21" s="240"/>
      <c r="N21" s="140"/>
    </row>
    <row r="22" spans="1:18" s="42" customFormat="1" ht="31.95" customHeight="1" x14ac:dyDescent="0.3">
      <c r="A22" s="195"/>
      <c r="B22" s="151"/>
      <c r="C22" s="282" t="s">
        <v>51</v>
      </c>
      <c r="D22" s="283"/>
      <c r="E22" s="217"/>
      <c r="F22" s="218"/>
      <c r="G22" s="252" t="e">
        <f>IF(E22/E23&gt;=0.15,5,IF(E22&lt;10000,1,IF(E22&lt;50000,3,5)))</f>
        <v>#DIV/0!</v>
      </c>
      <c r="H22" s="253"/>
      <c r="I22" s="257"/>
      <c r="J22" s="258"/>
      <c r="K22" s="259"/>
      <c r="N22" s="140"/>
    </row>
    <row r="23" spans="1:18" s="42" customFormat="1" ht="21" customHeight="1" x14ac:dyDescent="0.3">
      <c r="A23" s="195"/>
      <c r="B23" s="76"/>
      <c r="C23" s="278" t="s">
        <v>83</v>
      </c>
      <c r="D23" s="279"/>
      <c r="E23" s="244"/>
      <c r="F23" s="245"/>
      <c r="G23" s="314"/>
      <c r="H23" s="315"/>
      <c r="I23" s="260"/>
      <c r="J23" s="261"/>
      <c r="K23" s="262"/>
    </row>
    <row r="24" spans="1:18" s="42" customFormat="1" ht="31.95" customHeight="1" x14ac:dyDescent="0.3">
      <c r="A24" s="195"/>
      <c r="B24" s="77"/>
      <c r="C24" s="280" t="s">
        <v>93</v>
      </c>
      <c r="D24" s="281"/>
      <c r="E24" s="230"/>
      <c r="F24" s="231"/>
      <c r="G24" s="186">
        <f>IF(E24="stranger",1,IF(E24="repeater",3,5))</f>
        <v>5</v>
      </c>
      <c r="H24" s="187"/>
      <c r="I24" s="238"/>
      <c r="J24" s="239"/>
      <c r="K24" s="240"/>
    </row>
    <row r="25" spans="1:18" s="42" customFormat="1" ht="31.95" customHeight="1" x14ac:dyDescent="0.3">
      <c r="A25" s="195"/>
      <c r="B25" s="77"/>
      <c r="C25" s="280" t="s">
        <v>18</v>
      </c>
      <c r="D25" s="281"/>
      <c r="E25" s="230"/>
      <c r="F25" s="231"/>
      <c r="G25" s="186">
        <f>IF(E25="Peu risqué",1,IF(E25="Risqué",3,5))</f>
        <v>5</v>
      </c>
      <c r="H25" s="187"/>
      <c r="I25" s="238"/>
      <c r="J25" s="239"/>
      <c r="K25" s="240"/>
    </row>
    <row r="26" spans="1:18" s="42" customFormat="1" ht="31.95" customHeight="1" x14ac:dyDescent="0.3">
      <c r="A26" s="195"/>
      <c r="B26" s="77"/>
      <c r="C26" s="280" t="s">
        <v>19</v>
      </c>
      <c r="D26" s="281"/>
      <c r="E26" s="230"/>
      <c r="F26" s="231"/>
      <c r="G26" s="186">
        <f>IF(E26="Peu risqué",1,IF(E26="Risqué",3,5))</f>
        <v>5</v>
      </c>
      <c r="H26" s="187"/>
      <c r="I26" s="238"/>
      <c r="J26" s="239"/>
      <c r="K26" s="240"/>
    </row>
    <row r="27" spans="1:18" s="42" customFormat="1" ht="31.95" customHeight="1" x14ac:dyDescent="0.3">
      <c r="A27" s="195"/>
      <c r="B27" s="131"/>
      <c r="C27" s="280" t="s">
        <v>119</v>
      </c>
      <c r="D27" s="281"/>
      <c r="E27" s="230"/>
      <c r="F27" s="231"/>
      <c r="G27" s="186">
        <f>IF(E27="Peu risqué",1,IF(E27="Risqué",3,5))</f>
        <v>5</v>
      </c>
      <c r="H27" s="187"/>
      <c r="I27" s="132"/>
      <c r="J27" s="133"/>
      <c r="K27" s="134"/>
    </row>
    <row r="28" spans="1:18" s="42" customFormat="1" ht="31.95" customHeight="1" thickBot="1" x14ac:dyDescent="0.35">
      <c r="A28" s="195"/>
      <c r="B28" s="78"/>
      <c r="C28" s="355" t="s">
        <v>20</v>
      </c>
      <c r="D28" s="300"/>
      <c r="E28" s="232"/>
      <c r="F28" s="233"/>
      <c r="G28" s="203">
        <f>IF(E28="A1",1,IF(E28="A2",1,IF(E28="A3",1,IF(E28="A4",1,IF(E28="B",3,5)))))</f>
        <v>5</v>
      </c>
      <c r="H28" s="204"/>
      <c r="I28" s="235"/>
      <c r="J28" s="236"/>
      <c r="K28" s="237"/>
    </row>
    <row r="29" spans="1:18" s="42" customFormat="1" ht="48" customHeight="1" thickBot="1" x14ac:dyDescent="0.35">
      <c r="A29" s="128" t="s">
        <v>0</v>
      </c>
      <c r="B29" s="188" t="s">
        <v>12</v>
      </c>
      <c r="C29" s="189"/>
      <c r="D29" s="190"/>
      <c r="E29" s="234" t="s">
        <v>2</v>
      </c>
      <c r="F29" s="224"/>
      <c r="G29" s="234" t="s">
        <v>23</v>
      </c>
      <c r="H29" s="225"/>
      <c r="I29" s="224" t="s">
        <v>24</v>
      </c>
      <c r="J29" s="225"/>
      <c r="K29" s="254" t="s">
        <v>22</v>
      </c>
      <c r="L29" s="255"/>
      <c r="M29" s="256"/>
      <c r="N29" s="69" t="s">
        <v>1</v>
      </c>
      <c r="O29" s="69" t="s">
        <v>101</v>
      </c>
      <c r="P29" s="69" t="s">
        <v>102</v>
      </c>
      <c r="Q29" s="69" t="s">
        <v>103</v>
      </c>
      <c r="R29" s="69" t="s">
        <v>112</v>
      </c>
    </row>
    <row r="30" spans="1:18" ht="31.95" customHeight="1" x14ac:dyDescent="0.3">
      <c r="A30" s="267"/>
      <c r="B30" s="219" t="s">
        <v>71</v>
      </c>
      <c r="C30" s="196" t="s">
        <v>21</v>
      </c>
      <c r="D30" s="197"/>
      <c r="E30" s="100" t="s">
        <v>29</v>
      </c>
      <c r="F30" s="101">
        <f>VLOOKUP(E30,'Mode d''emploi'!$C$85:$D$96,2,FALSE)</f>
        <v>0.75</v>
      </c>
      <c r="G30" s="198">
        <f>IF(G21=1,10%,IF(G21=3,50%,100%))</f>
        <v>0.1</v>
      </c>
      <c r="H30" s="199"/>
      <c r="I30" s="108" t="s">
        <v>33</v>
      </c>
      <c r="J30" s="103">
        <f>VLOOKUP(I30,'Mode d''emploi'!$C$85:$D$96,2,FALSE)</f>
        <v>0.25</v>
      </c>
      <c r="K30" s="200"/>
      <c r="L30" s="201"/>
      <c r="M30" s="202"/>
      <c r="N30" s="113">
        <f>F30*G30*J30</f>
        <v>1.8750000000000003E-2</v>
      </c>
      <c r="O30" s="126">
        <v>1</v>
      </c>
      <c r="P30" s="316" t="e">
        <f>SUMPRODUCT(N30:N37,O30:O37)/SUM(O30:O37)</f>
        <v>#DIV/0!</v>
      </c>
      <c r="Q30" s="316" t="e">
        <f>1-P30</f>
        <v>#DIV/0!</v>
      </c>
      <c r="R30" s="316"/>
    </row>
    <row r="31" spans="1:18" ht="31.95" customHeight="1" x14ac:dyDescent="0.3">
      <c r="A31" s="267"/>
      <c r="B31" s="220"/>
      <c r="C31" s="196" t="s">
        <v>50</v>
      </c>
      <c r="D31" s="197"/>
      <c r="E31" s="102" t="s">
        <v>29</v>
      </c>
      <c r="F31" s="103">
        <f>VLOOKUP(E31,'Mode d''emploi'!$C$85:$D$96,2,FALSE)</f>
        <v>0.75</v>
      </c>
      <c r="G31" s="318">
        <f>IF(G21=1,10%,IF(G21=3,50%,100%))</f>
        <v>0.1</v>
      </c>
      <c r="H31" s="319"/>
      <c r="I31" s="109" t="s">
        <v>33</v>
      </c>
      <c r="J31" s="103">
        <f>VLOOKUP(I31,'Mode d''emploi'!$C$85:$D$96,2,FALSE)</f>
        <v>0.25</v>
      </c>
      <c r="K31" s="200"/>
      <c r="L31" s="201"/>
      <c r="M31" s="202"/>
      <c r="N31" s="113">
        <f t="shared" ref="N31:N58" si="1">F31*G31*J31</f>
        <v>1.8750000000000003E-2</v>
      </c>
      <c r="O31" s="126">
        <v>1</v>
      </c>
      <c r="P31" s="316"/>
      <c r="Q31" s="316"/>
      <c r="R31" s="316"/>
    </row>
    <row r="32" spans="1:18" ht="31.95" customHeight="1" x14ac:dyDescent="0.3">
      <c r="A32" s="267"/>
      <c r="B32" s="220"/>
      <c r="C32" s="196" t="s">
        <v>16</v>
      </c>
      <c r="D32" s="197"/>
      <c r="E32" s="102" t="s">
        <v>29</v>
      </c>
      <c r="F32" s="103">
        <f>VLOOKUP(E32,'Mode d''emploi'!$C$85:$D$96,2,FALSE)</f>
        <v>0.75</v>
      </c>
      <c r="G32" s="318" t="e">
        <f>IF(G22=1,10%,IF(G22=3,50%,100%))</f>
        <v>#DIV/0!</v>
      </c>
      <c r="H32" s="319"/>
      <c r="I32" s="109" t="s">
        <v>33</v>
      </c>
      <c r="J32" s="103">
        <f>VLOOKUP(I32,'Mode d''emploi'!$C$85:$D$96,2,FALSE)</f>
        <v>0.25</v>
      </c>
      <c r="K32" s="200"/>
      <c r="L32" s="201"/>
      <c r="M32" s="202"/>
      <c r="N32" s="113" t="e">
        <f t="shared" si="1"/>
        <v>#DIV/0!</v>
      </c>
      <c r="O32" s="126">
        <v>1</v>
      </c>
      <c r="P32" s="316"/>
      <c r="Q32" s="316"/>
      <c r="R32" s="316"/>
    </row>
    <row r="33" spans="1:18" ht="31.95" customHeight="1" x14ac:dyDescent="0.3">
      <c r="A33" s="267"/>
      <c r="B33" s="220"/>
      <c r="C33" s="196" t="s">
        <v>17</v>
      </c>
      <c r="D33" s="197"/>
      <c r="E33" s="102" t="s">
        <v>29</v>
      </c>
      <c r="F33" s="103">
        <f>VLOOKUP(E33,'Mode d''emploi'!$C$85:$D$96,2,FALSE)</f>
        <v>0.75</v>
      </c>
      <c r="G33" s="318">
        <f>IF(G24=1,10%,IF(G24=3,50%,100%))</f>
        <v>1</v>
      </c>
      <c r="H33" s="319"/>
      <c r="I33" s="109" t="s">
        <v>33</v>
      </c>
      <c r="J33" s="103">
        <f>VLOOKUP(I33,'Mode d''emploi'!$C$85:$D$96,2,FALSE)</f>
        <v>0.25</v>
      </c>
      <c r="K33" s="200"/>
      <c r="L33" s="201"/>
      <c r="M33" s="202"/>
      <c r="N33" s="113">
        <f t="shared" si="1"/>
        <v>0.1875</v>
      </c>
      <c r="O33" s="126">
        <v>1</v>
      </c>
      <c r="P33" s="316"/>
      <c r="Q33" s="316"/>
      <c r="R33" s="316"/>
    </row>
    <row r="34" spans="1:18" ht="31.95" customHeight="1" x14ac:dyDescent="0.3">
      <c r="A34" s="267"/>
      <c r="B34" s="220"/>
      <c r="C34" s="196" t="s">
        <v>18</v>
      </c>
      <c r="D34" s="197"/>
      <c r="E34" s="102" t="s">
        <v>29</v>
      </c>
      <c r="F34" s="103">
        <f>VLOOKUP(E34,'Mode d''emploi'!$C$85:$D$96,2,FALSE)</f>
        <v>0.75</v>
      </c>
      <c r="G34" s="318">
        <f>IF(G25=1,10%,IF(G25=3,50%,100%))</f>
        <v>1</v>
      </c>
      <c r="H34" s="319"/>
      <c r="I34" s="109" t="s">
        <v>33</v>
      </c>
      <c r="J34" s="103">
        <f>VLOOKUP(I34,'Mode d''emploi'!$C$85:$D$96,2,FALSE)</f>
        <v>0.25</v>
      </c>
      <c r="K34" s="200"/>
      <c r="L34" s="201"/>
      <c r="M34" s="202"/>
      <c r="N34" s="113">
        <f t="shared" si="1"/>
        <v>0.1875</v>
      </c>
      <c r="O34" s="126">
        <v>1</v>
      </c>
      <c r="P34" s="316"/>
      <c r="Q34" s="316"/>
      <c r="R34" s="316"/>
    </row>
    <row r="35" spans="1:18" ht="31.95" customHeight="1" x14ac:dyDescent="0.3">
      <c r="A35" s="267"/>
      <c r="B35" s="220"/>
      <c r="C35" s="196" t="s">
        <v>19</v>
      </c>
      <c r="D35" s="197"/>
      <c r="E35" s="102" t="s">
        <v>29</v>
      </c>
      <c r="F35" s="103">
        <f>VLOOKUP(E35,'Mode d''emploi'!$C$85:$D$96,2,FALSE)</f>
        <v>0.75</v>
      </c>
      <c r="G35" s="318">
        <f>IF(G26=1,10%,IF(G26=3,50%,100%))</f>
        <v>1</v>
      </c>
      <c r="H35" s="319"/>
      <c r="I35" s="109" t="s">
        <v>33</v>
      </c>
      <c r="J35" s="103">
        <f>VLOOKUP(I35,'Mode d''emploi'!$C$85:$D$96,2,FALSE)</f>
        <v>0.25</v>
      </c>
      <c r="K35" s="200"/>
      <c r="L35" s="201"/>
      <c r="M35" s="202"/>
      <c r="N35" s="113">
        <f t="shared" si="1"/>
        <v>0.1875</v>
      </c>
      <c r="O35" s="126">
        <v>1</v>
      </c>
      <c r="P35" s="316"/>
      <c r="Q35" s="316"/>
      <c r="R35" s="316"/>
    </row>
    <row r="36" spans="1:18" ht="31.95" customHeight="1" x14ac:dyDescent="0.3">
      <c r="A36" s="267"/>
      <c r="B36" s="220"/>
      <c r="C36" s="196" t="s">
        <v>119</v>
      </c>
      <c r="D36" s="197"/>
      <c r="E36" s="102" t="s">
        <v>29</v>
      </c>
      <c r="F36" s="103">
        <f>VLOOKUP(E36,'Mode d''emploi'!$C$85:$D$96,2,FALSE)</f>
        <v>0.75</v>
      </c>
      <c r="G36" s="318">
        <f>IF(G27=1,10%,IF(G27=3,50%,100%))</f>
        <v>1</v>
      </c>
      <c r="H36" s="319"/>
      <c r="I36" s="109" t="s">
        <v>33</v>
      </c>
      <c r="J36" s="103">
        <f>VLOOKUP(I36,'Mode d''emploi'!$C$85:$D$96,2,FALSE)</f>
        <v>0.25</v>
      </c>
      <c r="K36" s="200"/>
      <c r="L36" s="201"/>
      <c r="M36" s="202"/>
      <c r="N36" s="113">
        <f t="shared" si="1"/>
        <v>0.1875</v>
      </c>
      <c r="O36" s="136">
        <v>1</v>
      </c>
      <c r="P36" s="316"/>
      <c r="Q36" s="316"/>
      <c r="R36" s="316"/>
    </row>
    <row r="37" spans="1:18" ht="31.95" customHeight="1" thickBot="1" x14ac:dyDescent="0.35">
      <c r="A37" s="267"/>
      <c r="B37" s="221"/>
      <c r="C37" s="312" t="s">
        <v>20</v>
      </c>
      <c r="D37" s="275"/>
      <c r="E37" s="104" t="s">
        <v>28</v>
      </c>
      <c r="F37" s="107">
        <f>VLOOKUP(E37,'Mode d''emploi'!$C$85:$D$96,2,FALSE)</f>
        <v>0.25</v>
      </c>
      <c r="G37" s="325">
        <f>IF(G28=1,10%,IF(G28=3,50%,100%))</f>
        <v>1</v>
      </c>
      <c r="H37" s="326"/>
      <c r="I37" s="110" t="s">
        <v>33</v>
      </c>
      <c r="J37" s="105">
        <f>VLOOKUP(I37,'Mode d''emploi'!$C$85:$D$96,2,FALSE)</f>
        <v>0.25</v>
      </c>
      <c r="K37" s="344"/>
      <c r="L37" s="345"/>
      <c r="M37" s="346"/>
      <c r="N37" s="135">
        <f t="shared" si="1"/>
        <v>6.25E-2</v>
      </c>
      <c r="O37" s="136">
        <v>1</v>
      </c>
      <c r="P37" s="316"/>
      <c r="Q37" s="316"/>
      <c r="R37" s="316"/>
    </row>
    <row r="38" spans="1:18" ht="31.95" customHeight="1" x14ac:dyDescent="0.3">
      <c r="A38" s="268"/>
      <c r="B38" s="332" t="s">
        <v>150</v>
      </c>
      <c r="C38" s="321" t="s">
        <v>136</v>
      </c>
      <c r="D38" s="322"/>
      <c r="E38" s="100" t="s">
        <v>43</v>
      </c>
      <c r="F38" s="174">
        <f>VLOOKUP(E38,'Mode d''emploi'!$C$85:$D$96,2,FALSE)</f>
        <v>1</v>
      </c>
      <c r="G38" s="162"/>
      <c r="H38" s="163">
        <f>IF(G38="Premium",10%,IF(G38="Preferred",10%,100%))</f>
        <v>1</v>
      </c>
      <c r="I38" s="175" t="s">
        <v>33</v>
      </c>
      <c r="J38" s="101">
        <f>VLOOKUP(I38,'Mode d''emploi'!$C$85:$D$96,2,FALSE)</f>
        <v>0.25</v>
      </c>
      <c r="K38" s="296"/>
      <c r="L38" s="213"/>
      <c r="M38" s="297"/>
      <c r="N38" s="112">
        <f>F38*H38*J38</f>
        <v>0.25</v>
      </c>
      <c r="O38" s="125">
        <v>1</v>
      </c>
      <c r="P38" s="335">
        <f>SUMPRODUCT(N38:N39,O38:O39)/SUM(O38:O39)</f>
        <v>0.25</v>
      </c>
      <c r="Q38" s="335">
        <f>1-P38</f>
        <v>0.75</v>
      </c>
      <c r="R38" s="338"/>
    </row>
    <row r="39" spans="1:18" ht="31.95" customHeight="1" x14ac:dyDescent="0.3">
      <c r="A39" s="268"/>
      <c r="B39" s="333"/>
      <c r="C39" s="330" t="s">
        <v>133</v>
      </c>
      <c r="D39" s="331"/>
      <c r="E39" s="102" t="s">
        <v>43</v>
      </c>
      <c r="F39" s="176">
        <f>VLOOKUP(E39,'Mode d''emploi'!$C$85:$D$96,2,FALSE)</f>
        <v>1</v>
      </c>
      <c r="G39" s="177"/>
      <c r="H39" s="178">
        <f>IF(G39="oui",10%,IF(G39="en cours",50%,100%))</f>
        <v>1</v>
      </c>
      <c r="I39" s="179" t="s">
        <v>33</v>
      </c>
      <c r="J39" s="103">
        <f>VLOOKUP(I39,'Mode d''emploi'!$C$85:$D$96,2,FALSE)</f>
        <v>0.25</v>
      </c>
      <c r="K39" s="317"/>
      <c r="L39" s="201"/>
      <c r="M39" s="202"/>
      <c r="N39" s="113">
        <f>F39*H39*J39</f>
        <v>0.25</v>
      </c>
      <c r="O39" s="126">
        <v>5</v>
      </c>
      <c r="P39" s="336"/>
      <c r="Q39" s="336"/>
      <c r="R39" s="339"/>
    </row>
    <row r="40" spans="1:18" ht="31.95" customHeight="1" thickBot="1" x14ac:dyDescent="0.35">
      <c r="A40" s="268"/>
      <c r="B40" s="334"/>
      <c r="C40" s="193" t="s">
        <v>143</v>
      </c>
      <c r="D40" s="194"/>
      <c r="E40" s="104" t="s">
        <v>43</v>
      </c>
      <c r="F40" s="159">
        <f>VLOOKUP(E40,'Mode d''emploi'!$C$85:$D$96,2,FALSE)</f>
        <v>1</v>
      </c>
      <c r="G40" s="164"/>
      <c r="H40" s="165">
        <f>IF(G40="Conforme",10%,IF(G40="Partiellement Conforme",50%,100%))</f>
        <v>1</v>
      </c>
      <c r="I40" s="161" t="s">
        <v>33</v>
      </c>
      <c r="J40" s="107">
        <f>VLOOKUP(I40,'Mode d''emploi'!$C$85:$D$96,2,FALSE)</f>
        <v>0.25</v>
      </c>
      <c r="K40" s="320"/>
      <c r="L40" s="294"/>
      <c r="M40" s="295"/>
      <c r="N40" s="114">
        <f>F40*H40*J40</f>
        <v>0.25</v>
      </c>
      <c r="O40" s="127">
        <v>5</v>
      </c>
      <c r="P40" s="337"/>
      <c r="Q40" s="337"/>
      <c r="R40" s="337"/>
    </row>
    <row r="41" spans="1:18" s="42" customFormat="1" ht="31.95" customHeight="1" x14ac:dyDescent="0.3">
      <c r="A41" s="268"/>
      <c r="B41" s="191" t="s">
        <v>125</v>
      </c>
      <c r="C41" s="276" t="s">
        <v>120</v>
      </c>
      <c r="D41" s="277"/>
      <c r="E41" s="169" t="s">
        <v>29</v>
      </c>
      <c r="F41" s="170">
        <f>VLOOKUP(E41,'Mode d''emploi'!$C$85:$D$96,2,FALSE)</f>
        <v>0.75</v>
      </c>
      <c r="G41" s="208">
        <v>0</v>
      </c>
      <c r="H41" s="208"/>
      <c r="I41" s="171" t="s">
        <v>33</v>
      </c>
      <c r="J41" s="170">
        <f>VLOOKUP(I41,'Mode d''emploi'!$C$85:$D$96,2,FALSE)</f>
        <v>0.25</v>
      </c>
      <c r="K41" s="212"/>
      <c r="L41" s="213"/>
      <c r="M41" s="214"/>
      <c r="N41" s="172">
        <f t="shared" si="1"/>
        <v>0</v>
      </c>
      <c r="O41" s="173">
        <v>1</v>
      </c>
      <c r="P41" s="316">
        <f>SUMPRODUCT(N41:N45,O41:O45)/SUM(O41:O45)</f>
        <v>5.5374999999999994E-2</v>
      </c>
      <c r="Q41" s="316">
        <f>1-P41</f>
        <v>0.94462500000000005</v>
      </c>
      <c r="R41" s="316" t="s">
        <v>114</v>
      </c>
    </row>
    <row r="42" spans="1:18" s="42" customFormat="1" ht="31.95" customHeight="1" x14ac:dyDescent="0.3">
      <c r="A42" s="268"/>
      <c r="B42" s="192"/>
      <c r="C42" s="313" t="s">
        <v>121</v>
      </c>
      <c r="D42" s="197"/>
      <c r="E42" s="102" t="s">
        <v>29</v>
      </c>
      <c r="F42" s="103">
        <f>VLOOKUP(E42,'Mode d''emploi'!$C$85:$D$96,2,FALSE)</f>
        <v>0.75</v>
      </c>
      <c r="G42" s="209">
        <v>0.35</v>
      </c>
      <c r="H42" s="209"/>
      <c r="I42" s="109" t="s">
        <v>33</v>
      </c>
      <c r="J42" s="103">
        <f>VLOOKUP(I42,'Mode d''emploi'!$C$85:$D$96,2,FALSE)</f>
        <v>0.25</v>
      </c>
      <c r="K42" s="215"/>
      <c r="L42" s="201"/>
      <c r="M42" s="216"/>
      <c r="N42" s="113">
        <f t="shared" si="1"/>
        <v>6.5624999999999989E-2</v>
      </c>
      <c r="O42" s="126">
        <v>1</v>
      </c>
      <c r="P42" s="316"/>
      <c r="Q42" s="316"/>
      <c r="R42" s="316"/>
    </row>
    <row r="43" spans="1:18" s="42" customFormat="1" ht="31.95" customHeight="1" x14ac:dyDescent="0.3">
      <c r="A43" s="268"/>
      <c r="B43" s="192"/>
      <c r="C43" s="313" t="s">
        <v>122</v>
      </c>
      <c r="D43" s="197"/>
      <c r="E43" s="102" t="s">
        <v>43</v>
      </c>
      <c r="F43" s="103">
        <f>VLOOKUP(E43,'Mode d''emploi'!$C$85:$D$96,2,FALSE)</f>
        <v>1</v>
      </c>
      <c r="G43" s="209">
        <v>0.35</v>
      </c>
      <c r="H43" s="209"/>
      <c r="I43" s="109" t="s">
        <v>33</v>
      </c>
      <c r="J43" s="103">
        <f>VLOOKUP(I43,'Mode d''emploi'!$C$85:$D$96,2,FALSE)</f>
        <v>0.25</v>
      </c>
      <c r="K43" s="215"/>
      <c r="L43" s="201"/>
      <c r="M43" s="216"/>
      <c r="N43" s="113">
        <f t="shared" si="1"/>
        <v>8.7499999999999994E-2</v>
      </c>
      <c r="O43" s="126">
        <v>1</v>
      </c>
      <c r="P43" s="316"/>
      <c r="Q43" s="316"/>
      <c r="R43" s="316"/>
    </row>
    <row r="44" spans="1:18" s="42" customFormat="1" ht="31.95" customHeight="1" x14ac:dyDescent="0.3">
      <c r="A44" s="268"/>
      <c r="B44" s="192"/>
      <c r="C44" s="313" t="s">
        <v>123</v>
      </c>
      <c r="D44" s="197"/>
      <c r="E44" s="102" t="s">
        <v>29</v>
      </c>
      <c r="F44" s="103">
        <f>VLOOKUP(E44,'Mode d''emploi'!$C$85:$D$96,2,FALSE)</f>
        <v>0.75</v>
      </c>
      <c r="G44" s="209">
        <v>0.33</v>
      </c>
      <c r="H44" s="209"/>
      <c r="I44" s="109" t="s">
        <v>31</v>
      </c>
      <c r="J44" s="103">
        <f>VLOOKUP(I44,'Mode d''emploi'!$C$85:$D$96,2,FALSE)</f>
        <v>0.5</v>
      </c>
      <c r="K44" s="215"/>
      <c r="L44" s="201"/>
      <c r="M44" s="216"/>
      <c r="N44" s="113">
        <f t="shared" si="1"/>
        <v>0.12375</v>
      </c>
      <c r="O44" s="126">
        <v>1</v>
      </c>
      <c r="P44" s="316"/>
      <c r="Q44" s="316"/>
      <c r="R44" s="316"/>
    </row>
    <row r="45" spans="1:18" s="3" customFormat="1" ht="31.95" customHeight="1" thickBot="1" x14ac:dyDescent="0.35">
      <c r="A45" s="268"/>
      <c r="B45" s="270"/>
      <c r="C45" s="274" t="s">
        <v>124</v>
      </c>
      <c r="D45" s="275"/>
      <c r="E45" s="106" t="s">
        <v>29</v>
      </c>
      <c r="F45" s="105">
        <f>VLOOKUP(E45,'Mode d''emploi'!$C$85:$D$96,2,FALSE)</f>
        <v>0.75</v>
      </c>
      <c r="G45" s="329">
        <v>0</v>
      </c>
      <c r="H45" s="329"/>
      <c r="I45" s="111" t="s">
        <v>33</v>
      </c>
      <c r="J45" s="105">
        <f>VLOOKUP(I45,'Mode d''emploi'!$C$85:$D$96,2,FALSE)</f>
        <v>0.25</v>
      </c>
      <c r="K45" s="323"/>
      <c r="L45" s="294"/>
      <c r="M45" s="324"/>
      <c r="N45" s="114">
        <f t="shared" si="1"/>
        <v>0</v>
      </c>
      <c r="O45" s="127">
        <v>1</v>
      </c>
      <c r="P45" s="341"/>
      <c r="Q45" s="341"/>
      <c r="R45" s="341"/>
    </row>
    <row r="46" spans="1:18" s="3" customFormat="1" ht="31.95" customHeight="1" x14ac:dyDescent="0.3">
      <c r="A46" s="268"/>
      <c r="B46" s="191" t="s">
        <v>84</v>
      </c>
      <c r="C46" s="327" t="s">
        <v>85</v>
      </c>
      <c r="D46" s="328"/>
      <c r="E46" s="100" t="s">
        <v>43</v>
      </c>
      <c r="F46" s="101">
        <f>VLOOKUP(E46,'Mode d''emploi'!$C$85:$D$96,2,FALSE)</f>
        <v>1</v>
      </c>
      <c r="G46" s="153"/>
      <c r="H46" s="98">
        <f>IF(G46=0,0%,IF(G46&lt;=3,10%,IF(G46&lt;=10,50%,100%)))</f>
        <v>0</v>
      </c>
      <c r="I46" s="108" t="s">
        <v>34</v>
      </c>
      <c r="J46" s="101">
        <f>VLOOKUP(I46,'Mode d''emploi'!$C$85:$D$96,2,FALSE)</f>
        <v>1</v>
      </c>
      <c r="K46" s="212"/>
      <c r="L46" s="213"/>
      <c r="M46" s="214"/>
      <c r="N46" s="113" t="str">
        <f>IF(G46="","",(F46*H46*J46))</f>
        <v/>
      </c>
      <c r="O46" s="125">
        <v>2</v>
      </c>
      <c r="P46" s="340" t="str">
        <f>IF(N46="","",SUMPRODUCT(N46:N49,O46:O49)/SUM(O46:O49))</f>
        <v/>
      </c>
      <c r="Q46" s="340" t="str">
        <f>IF(P46="","",(1-P46))</f>
        <v/>
      </c>
      <c r="R46" s="340" t="s">
        <v>115</v>
      </c>
    </row>
    <row r="47" spans="1:18" s="3" customFormat="1" ht="31.95" customHeight="1" x14ac:dyDescent="0.3">
      <c r="A47" s="268"/>
      <c r="B47" s="192"/>
      <c r="C47" s="288" t="s">
        <v>86</v>
      </c>
      <c r="D47" s="280"/>
      <c r="E47" s="102" t="s">
        <v>29</v>
      </c>
      <c r="F47" s="103">
        <f>VLOOKUP(E47,'Mode d''emploi'!$C$85:$D$96,2,FALSE)</f>
        <v>0.75</v>
      </c>
      <c r="G47" s="154"/>
      <c r="H47" s="96">
        <f>IF(G47=0,0%,IF(G47&lt;=10,10%,IF(G47&lt;=25,50%,100%)))</f>
        <v>0</v>
      </c>
      <c r="I47" s="109" t="s">
        <v>32</v>
      </c>
      <c r="J47" s="103">
        <f>VLOOKUP(I47,'Mode d''emploi'!$C$85:$D$96,2,FALSE)</f>
        <v>0.75</v>
      </c>
      <c r="K47" s="215"/>
      <c r="L47" s="201"/>
      <c r="M47" s="216"/>
      <c r="N47" s="113" t="str">
        <f>IF(G47="","",(F47*H47*J47))</f>
        <v/>
      </c>
      <c r="O47" s="126">
        <v>1</v>
      </c>
      <c r="P47" s="316"/>
      <c r="Q47" s="316"/>
      <c r="R47" s="316"/>
    </row>
    <row r="48" spans="1:18" s="3" customFormat="1" ht="31.95" customHeight="1" x14ac:dyDescent="0.3">
      <c r="A48" s="268"/>
      <c r="B48" s="192"/>
      <c r="C48" s="288" t="s">
        <v>87</v>
      </c>
      <c r="D48" s="280"/>
      <c r="E48" s="102" t="s">
        <v>29</v>
      </c>
      <c r="F48" s="103">
        <f>VLOOKUP(E48,'Mode d''emploi'!$C$85:$D$96,2,FALSE)</f>
        <v>0.75</v>
      </c>
      <c r="G48" s="154"/>
      <c r="H48" s="96">
        <f>IF(G48=0,0%,IF(G48&lt;=5,10%,IF(G48&lt;=10,50%,100%)))</f>
        <v>0</v>
      </c>
      <c r="I48" s="109" t="s">
        <v>31</v>
      </c>
      <c r="J48" s="103">
        <f>VLOOKUP(I48,'Mode d''emploi'!$C$85:$D$96,2,FALSE)</f>
        <v>0.5</v>
      </c>
      <c r="K48" s="215"/>
      <c r="L48" s="201"/>
      <c r="M48" s="216"/>
      <c r="N48" s="113" t="str">
        <f>IF(G48="","",(F48*H48*J48))</f>
        <v/>
      </c>
      <c r="O48" s="126">
        <v>1</v>
      </c>
      <c r="P48" s="316"/>
      <c r="Q48" s="316"/>
      <c r="R48" s="316"/>
    </row>
    <row r="49" spans="1:19" s="3" customFormat="1" ht="31.95" customHeight="1" thickBot="1" x14ac:dyDescent="0.35">
      <c r="A49" s="268"/>
      <c r="B49" s="270"/>
      <c r="C49" s="210" t="s">
        <v>88</v>
      </c>
      <c r="D49" s="211"/>
      <c r="E49" s="106" t="s">
        <v>43</v>
      </c>
      <c r="F49" s="105">
        <f>VLOOKUP(E49,'Mode d''emploi'!$C$85:$D$96,2,FALSE)</f>
        <v>1</v>
      </c>
      <c r="G49" s="180"/>
      <c r="H49" s="181">
        <f>IF(G49=0,0%,IF(G49&lt;=3,10%,IF(G49&lt;=10,50%,100%)))</f>
        <v>0</v>
      </c>
      <c r="I49" s="111" t="s">
        <v>34</v>
      </c>
      <c r="J49" s="105">
        <f>VLOOKUP(I49,'Mode d''emploi'!$C$85:$D$96,2,FALSE)</f>
        <v>1</v>
      </c>
      <c r="K49" s="356"/>
      <c r="L49" s="345"/>
      <c r="M49" s="357"/>
      <c r="N49" s="135" t="str">
        <f>IF(G49="","",(F49*H49*J49))</f>
        <v/>
      </c>
      <c r="O49" s="127">
        <v>2</v>
      </c>
      <c r="P49" s="341"/>
      <c r="Q49" s="341"/>
      <c r="R49" s="341"/>
    </row>
    <row r="50" spans="1:19" s="3" customFormat="1" ht="52.5" customHeight="1" x14ac:dyDescent="0.3">
      <c r="A50" s="268"/>
      <c r="B50" s="191" t="s">
        <v>116</v>
      </c>
      <c r="C50" s="301" t="s">
        <v>45</v>
      </c>
      <c r="D50" s="302"/>
      <c r="E50" s="100" t="s">
        <v>29</v>
      </c>
      <c r="F50" s="101">
        <f>VLOOKUP(E50,'Mode d''emploi'!$C$85:$D$96,2,FALSE)</f>
        <v>0.75</v>
      </c>
      <c r="G50" s="350">
        <v>0.5</v>
      </c>
      <c r="H50" s="351"/>
      <c r="I50" s="108" t="s">
        <v>33</v>
      </c>
      <c r="J50" s="101">
        <f>VLOOKUP(I50,'Mode d''emploi'!$C$85:$D$96,2,FALSE)</f>
        <v>0.25</v>
      </c>
      <c r="K50" s="296"/>
      <c r="L50" s="213"/>
      <c r="M50" s="297"/>
      <c r="N50" s="112">
        <f t="shared" si="1"/>
        <v>9.375E-2</v>
      </c>
      <c r="O50" s="125">
        <v>1</v>
      </c>
      <c r="P50" s="340">
        <f>SUMPRODUCT(N50:N51,O50:O51)/SUM(O50:O51)</f>
        <v>0.15625</v>
      </c>
      <c r="Q50" s="340">
        <f>1-P50</f>
        <v>0.84375</v>
      </c>
      <c r="R50" s="340" t="s">
        <v>115</v>
      </c>
      <c r="S50" s="129"/>
    </row>
    <row r="51" spans="1:19" s="3" customFormat="1" ht="48" customHeight="1" thickBot="1" x14ac:dyDescent="0.35">
      <c r="A51" s="268"/>
      <c r="B51" s="192"/>
      <c r="C51" s="291" t="s">
        <v>46</v>
      </c>
      <c r="D51" s="292"/>
      <c r="E51" s="104" t="s">
        <v>29</v>
      </c>
      <c r="F51" s="107">
        <f>VLOOKUP(E51,'Mode d''emploi'!$C$85:$D$96,2,FALSE)</f>
        <v>0.75</v>
      </c>
      <c r="G51" s="352">
        <v>1</v>
      </c>
      <c r="H51" s="353"/>
      <c r="I51" s="110" t="s">
        <v>33</v>
      </c>
      <c r="J51" s="107">
        <f>VLOOKUP(I51,'Mode d''emploi'!$C$85:$D$96,2,FALSE)</f>
        <v>0.25</v>
      </c>
      <c r="K51" s="320"/>
      <c r="L51" s="294"/>
      <c r="M51" s="295"/>
      <c r="N51" s="114">
        <f>F51*G51*J51</f>
        <v>0.1875</v>
      </c>
      <c r="O51" s="126">
        <v>2</v>
      </c>
      <c r="P51" s="316"/>
      <c r="Q51" s="316"/>
      <c r="R51" s="341"/>
      <c r="S51" s="129"/>
    </row>
    <row r="52" spans="1:19" s="3" customFormat="1" ht="31.95" customHeight="1" x14ac:dyDescent="0.3">
      <c r="A52" s="268"/>
      <c r="B52" s="191" t="s">
        <v>105</v>
      </c>
      <c r="C52" s="276" t="s">
        <v>92</v>
      </c>
      <c r="D52" s="277"/>
      <c r="E52" s="169" t="s">
        <v>29</v>
      </c>
      <c r="F52" s="170">
        <f>VLOOKUP(E52,'Mode d''emploi'!$C$85:$D$96,2,FALSE)</f>
        <v>0.75</v>
      </c>
      <c r="G52" s="354">
        <v>0.1</v>
      </c>
      <c r="H52" s="354"/>
      <c r="I52" s="171" t="s">
        <v>33</v>
      </c>
      <c r="J52" s="170">
        <f>VLOOKUP(I52,'Mode d''emploi'!$C$85:$D$96,2,FALSE)</f>
        <v>0.25</v>
      </c>
      <c r="K52" s="347"/>
      <c r="L52" s="348"/>
      <c r="M52" s="349"/>
      <c r="N52" s="172">
        <f t="shared" si="1"/>
        <v>1.8750000000000003E-2</v>
      </c>
      <c r="O52" s="125">
        <v>1</v>
      </c>
      <c r="P52" s="340">
        <f>IF(N54="",SUMPRODUCT(N52:N53,O52:O53)/SUM(O52:O53),SUMPRODUCT(N52:N54,O52:O54)/SUM(O52:O54))</f>
        <v>0.13125000000000001</v>
      </c>
      <c r="Q52" s="340">
        <f>1-P52</f>
        <v>0.86875000000000002</v>
      </c>
      <c r="R52" s="340" t="s">
        <v>115</v>
      </c>
    </row>
    <row r="53" spans="1:19" s="3" customFormat="1" ht="31.95" customHeight="1" x14ac:dyDescent="0.3">
      <c r="A53" s="268"/>
      <c r="B53" s="192"/>
      <c r="C53" s="274" t="s">
        <v>111</v>
      </c>
      <c r="D53" s="275"/>
      <c r="E53" s="167" t="s">
        <v>29</v>
      </c>
      <c r="F53" s="105">
        <f>VLOOKUP(E53,'Mode d''emploi'!$C$85:$D$96,2,FALSE)</f>
        <v>0.75</v>
      </c>
      <c r="G53" s="342">
        <v>0.5</v>
      </c>
      <c r="H53" s="343"/>
      <c r="I53" s="167" t="s">
        <v>31</v>
      </c>
      <c r="J53" s="105">
        <f>VLOOKUP(I53,'Mode d''emploi'!$C$85:$D$96,2,FALSE)</f>
        <v>0.5</v>
      </c>
      <c r="K53" s="317"/>
      <c r="L53" s="201"/>
      <c r="M53" s="202"/>
      <c r="N53" s="135">
        <f>F53*G53*J53</f>
        <v>0.1875</v>
      </c>
      <c r="O53" s="136">
        <v>2</v>
      </c>
      <c r="P53" s="316"/>
      <c r="Q53" s="316"/>
      <c r="R53" s="316"/>
    </row>
    <row r="54" spans="1:19" ht="31.95" customHeight="1" thickBot="1" x14ac:dyDescent="0.35">
      <c r="A54" s="268"/>
      <c r="B54" s="192"/>
      <c r="C54" s="299" t="s">
        <v>131</v>
      </c>
      <c r="D54" s="300"/>
      <c r="E54" s="104" t="s">
        <v>30</v>
      </c>
      <c r="F54" s="107">
        <f>VLOOKUP(E54,'Mode d''emploi'!$C$85:$D$96,2,FALSE)</f>
        <v>0.5</v>
      </c>
      <c r="G54" s="164"/>
      <c r="H54" s="165">
        <f>IF(G54="oui",10%,100%)</f>
        <v>1</v>
      </c>
      <c r="I54" s="111" t="s">
        <v>33</v>
      </c>
      <c r="J54" s="105">
        <f>VLOOKUP(I54,'Mode d''emploi'!$C$85:$D$96,2,FALSE)</f>
        <v>0.25</v>
      </c>
      <c r="K54" s="205"/>
      <c r="L54" s="206"/>
      <c r="M54" s="207"/>
      <c r="N54" s="135" t="str">
        <f>IF(G54="","",(F54*H54*J54))</f>
        <v/>
      </c>
      <c r="O54" s="127">
        <v>1</v>
      </c>
      <c r="P54" s="316"/>
      <c r="Q54" s="316"/>
      <c r="R54" s="316"/>
    </row>
    <row r="55" spans="1:19" ht="31.5" customHeight="1" x14ac:dyDescent="0.3">
      <c r="A55" s="268"/>
      <c r="B55" s="191" t="s">
        <v>89</v>
      </c>
      <c r="C55" s="301" t="s">
        <v>47</v>
      </c>
      <c r="D55" s="302"/>
      <c r="E55" s="100" t="s">
        <v>29</v>
      </c>
      <c r="F55" s="101">
        <f>VLOOKUP(E55,'Mode d''emploi'!$C$85:$D$96,2,FALSE)</f>
        <v>0.75</v>
      </c>
      <c r="G55" s="298">
        <v>0.5</v>
      </c>
      <c r="H55" s="298"/>
      <c r="I55" s="108" t="s">
        <v>33</v>
      </c>
      <c r="J55" s="101">
        <f>VLOOKUP(I55,'Mode d''emploi'!$C$85:$D$96,2,FALSE)</f>
        <v>0.25</v>
      </c>
      <c r="K55" s="296"/>
      <c r="L55" s="213"/>
      <c r="M55" s="297"/>
      <c r="N55" s="112">
        <f t="shared" si="1"/>
        <v>9.375E-2</v>
      </c>
      <c r="O55" s="125">
        <v>1</v>
      </c>
      <c r="P55" s="340">
        <f>SUMPRODUCT(N55:N58,O55:O58)/SUM(O55:O58)</f>
        <v>5.6250000000000008E-2</v>
      </c>
      <c r="Q55" s="340">
        <f>1-P55</f>
        <v>0.94374999999999998</v>
      </c>
      <c r="R55" s="340" t="s">
        <v>113</v>
      </c>
    </row>
    <row r="56" spans="1:19" ht="31.5" customHeight="1" x14ac:dyDescent="0.3">
      <c r="A56" s="268"/>
      <c r="B56" s="192"/>
      <c r="C56" s="313" t="s">
        <v>91</v>
      </c>
      <c r="D56" s="197"/>
      <c r="E56" s="102" t="s">
        <v>29</v>
      </c>
      <c r="F56" s="103">
        <f>VLOOKUP(E56,'Mode d''emploi'!$C$85:$D$96,2,FALSE)</f>
        <v>0.75</v>
      </c>
      <c r="G56" s="311">
        <v>0.1</v>
      </c>
      <c r="H56" s="311"/>
      <c r="I56" s="109" t="s">
        <v>33</v>
      </c>
      <c r="J56" s="103">
        <f>VLOOKUP(I56,'Mode d''emploi'!$C$85:$D$96,2,FALSE)</f>
        <v>0.25</v>
      </c>
      <c r="K56" s="200"/>
      <c r="L56" s="201"/>
      <c r="M56" s="202"/>
      <c r="N56" s="113">
        <f t="shared" si="1"/>
        <v>1.8750000000000003E-2</v>
      </c>
      <c r="O56" s="126">
        <v>1</v>
      </c>
      <c r="P56" s="316"/>
      <c r="Q56" s="316"/>
      <c r="R56" s="316"/>
    </row>
    <row r="57" spans="1:19" ht="42.6" customHeight="1" x14ac:dyDescent="0.3">
      <c r="A57" s="268"/>
      <c r="B57" s="192"/>
      <c r="C57" s="313" t="s">
        <v>48</v>
      </c>
      <c r="D57" s="197"/>
      <c r="E57" s="102" t="s">
        <v>43</v>
      </c>
      <c r="F57" s="103">
        <f>VLOOKUP(E57,'Mode d''emploi'!$C$85:$D$96,2,FALSE)</f>
        <v>1</v>
      </c>
      <c r="G57" s="311">
        <v>0.1</v>
      </c>
      <c r="H57" s="311"/>
      <c r="I57" s="109" t="s">
        <v>34</v>
      </c>
      <c r="J57" s="103">
        <f>VLOOKUP(I57,'Mode d''emploi'!$C$85:$D$96,2,FALSE)</f>
        <v>1</v>
      </c>
      <c r="K57" s="200"/>
      <c r="L57" s="201"/>
      <c r="M57" s="202"/>
      <c r="N57" s="113">
        <f t="shared" si="1"/>
        <v>0.1</v>
      </c>
      <c r="O57" s="126">
        <v>1</v>
      </c>
      <c r="P57" s="316"/>
      <c r="Q57" s="316"/>
      <c r="R57" s="316"/>
    </row>
    <row r="58" spans="1:19" ht="32.25" customHeight="1" thickBot="1" x14ac:dyDescent="0.35">
      <c r="A58" s="269"/>
      <c r="B58" s="270"/>
      <c r="C58" s="291" t="s">
        <v>126</v>
      </c>
      <c r="D58" s="292"/>
      <c r="E58" s="104" t="s">
        <v>30</v>
      </c>
      <c r="F58" s="107">
        <f>VLOOKUP(E58,'Mode d''emploi'!$C$85:$D$96,2,FALSE)</f>
        <v>0.5</v>
      </c>
      <c r="G58" s="310">
        <v>0.1</v>
      </c>
      <c r="H58" s="310"/>
      <c r="I58" s="110" t="s">
        <v>33</v>
      </c>
      <c r="J58" s="107">
        <f>VLOOKUP(I58,'Mode d''emploi'!$C$85:$D$96,2,FALSE)</f>
        <v>0.25</v>
      </c>
      <c r="K58" s="293"/>
      <c r="L58" s="294"/>
      <c r="M58" s="295"/>
      <c r="N58" s="114">
        <f t="shared" si="1"/>
        <v>1.2500000000000001E-2</v>
      </c>
      <c r="O58" s="127">
        <v>1</v>
      </c>
      <c r="P58" s="341"/>
      <c r="Q58" s="341"/>
      <c r="R58" s="341"/>
    </row>
    <row r="59" spans="1:19" s="89" customFormat="1" x14ac:dyDescent="0.3">
      <c r="A59" s="88"/>
      <c r="B59" s="88"/>
      <c r="C59" s="130"/>
    </row>
  </sheetData>
  <sheetProtection selectLockedCells="1"/>
  <mergeCells count="166">
    <mergeCell ref="C27:D27"/>
    <mergeCell ref="E27:F27"/>
    <mergeCell ref="G27:H27"/>
    <mergeCell ref="C36:D36"/>
    <mergeCell ref="K36:M36"/>
    <mergeCell ref="G36:H36"/>
    <mergeCell ref="C53:D53"/>
    <mergeCell ref="G53:H53"/>
    <mergeCell ref="K53:M53"/>
    <mergeCell ref="C47:D47"/>
    <mergeCell ref="G34:H34"/>
    <mergeCell ref="K44:M44"/>
    <mergeCell ref="K37:M37"/>
    <mergeCell ref="C35:D35"/>
    <mergeCell ref="C34:D34"/>
    <mergeCell ref="K50:M50"/>
    <mergeCell ref="K51:M51"/>
    <mergeCell ref="K52:M52"/>
    <mergeCell ref="G50:H50"/>
    <mergeCell ref="G51:H51"/>
    <mergeCell ref="G52:H52"/>
    <mergeCell ref="C28:D28"/>
    <mergeCell ref="K49:M49"/>
    <mergeCell ref="B38:B40"/>
    <mergeCell ref="P38:P40"/>
    <mergeCell ref="Q38:Q40"/>
    <mergeCell ref="R38:R40"/>
    <mergeCell ref="R55:R58"/>
    <mergeCell ref="R50:R51"/>
    <mergeCell ref="Q41:Q45"/>
    <mergeCell ref="Q46:Q49"/>
    <mergeCell ref="Q50:Q51"/>
    <mergeCell ref="Q52:Q54"/>
    <mergeCell ref="Q55:Q58"/>
    <mergeCell ref="P41:P45"/>
    <mergeCell ref="P46:P49"/>
    <mergeCell ref="R41:R45"/>
    <mergeCell ref="R46:R49"/>
    <mergeCell ref="C44:D44"/>
    <mergeCell ref="C43:D43"/>
    <mergeCell ref="K38:M38"/>
    <mergeCell ref="R52:R54"/>
    <mergeCell ref="C52:D52"/>
    <mergeCell ref="C55:D55"/>
    <mergeCell ref="P50:P51"/>
    <mergeCell ref="P52:P54"/>
    <mergeCell ref="P55:P58"/>
    <mergeCell ref="P30:P37"/>
    <mergeCell ref="Q30:Q37"/>
    <mergeCell ref="R30:R37"/>
    <mergeCell ref="K39:M39"/>
    <mergeCell ref="G31:H31"/>
    <mergeCell ref="G32:H32"/>
    <mergeCell ref="G33:H33"/>
    <mergeCell ref="K48:M48"/>
    <mergeCell ref="C31:D31"/>
    <mergeCell ref="K40:M40"/>
    <mergeCell ref="K32:M32"/>
    <mergeCell ref="K34:M34"/>
    <mergeCell ref="C38:D38"/>
    <mergeCell ref="K45:M45"/>
    <mergeCell ref="G37:H37"/>
    <mergeCell ref="K35:M35"/>
    <mergeCell ref="C46:D46"/>
    <mergeCell ref="G45:H45"/>
    <mergeCell ref="G35:H35"/>
    <mergeCell ref="K41:M41"/>
    <mergeCell ref="K42:M42"/>
    <mergeCell ref="K43:M43"/>
    <mergeCell ref="C39:D39"/>
    <mergeCell ref="K58:M58"/>
    <mergeCell ref="K56:M56"/>
    <mergeCell ref="K57:M57"/>
    <mergeCell ref="K55:M55"/>
    <mergeCell ref="G55:H55"/>
    <mergeCell ref="C51:D51"/>
    <mergeCell ref="C54:D54"/>
    <mergeCell ref="C50:D50"/>
    <mergeCell ref="I19:K19"/>
    <mergeCell ref="G19:H19"/>
    <mergeCell ref="G20:H20"/>
    <mergeCell ref="G58:H58"/>
    <mergeCell ref="G56:H56"/>
    <mergeCell ref="G57:H57"/>
    <mergeCell ref="C37:D37"/>
    <mergeCell ref="C57:D57"/>
    <mergeCell ref="G21:H21"/>
    <mergeCell ref="G23:H23"/>
    <mergeCell ref="C56:D56"/>
    <mergeCell ref="C33:D33"/>
    <mergeCell ref="C24:D24"/>
    <mergeCell ref="C25:D25"/>
    <mergeCell ref="C26:D26"/>
    <mergeCell ref="C42:D42"/>
    <mergeCell ref="A4:B5"/>
    <mergeCell ref="A30:A58"/>
    <mergeCell ref="B41:B45"/>
    <mergeCell ref="A8:B8"/>
    <mergeCell ref="A10:B10"/>
    <mergeCell ref="B19:D19"/>
    <mergeCell ref="C45:D45"/>
    <mergeCell ref="C41:D41"/>
    <mergeCell ref="C23:D23"/>
    <mergeCell ref="B55:B58"/>
    <mergeCell ref="C20:D20"/>
    <mergeCell ref="C21:D21"/>
    <mergeCell ref="C22:D22"/>
    <mergeCell ref="B46:B49"/>
    <mergeCell ref="A15:B15"/>
    <mergeCell ref="A11:B11"/>
    <mergeCell ref="A13:B13"/>
    <mergeCell ref="A14:B14"/>
    <mergeCell ref="A16:B16"/>
    <mergeCell ref="C48:D48"/>
    <mergeCell ref="A12:B12"/>
    <mergeCell ref="A17:B17"/>
    <mergeCell ref="C58:D58"/>
    <mergeCell ref="C32:D32"/>
    <mergeCell ref="L1:M1"/>
    <mergeCell ref="L2:M2"/>
    <mergeCell ref="I29:J29"/>
    <mergeCell ref="E19:F19"/>
    <mergeCell ref="E20:F20"/>
    <mergeCell ref="E26:F26"/>
    <mergeCell ref="E28:F28"/>
    <mergeCell ref="E29:F29"/>
    <mergeCell ref="I28:K28"/>
    <mergeCell ref="I26:K26"/>
    <mergeCell ref="I20:K20"/>
    <mergeCell ref="E23:F23"/>
    <mergeCell ref="G29:H29"/>
    <mergeCell ref="I21:K21"/>
    <mergeCell ref="E1:K1"/>
    <mergeCell ref="E2:K2"/>
    <mergeCell ref="E25:F25"/>
    <mergeCell ref="G22:H22"/>
    <mergeCell ref="E24:F24"/>
    <mergeCell ref="I24:K24"/>
    <mergeCell ref="I25:K25"/>
    <mergeCell ref="K29:M29"/>
    <mergeCell ref="I22:K23"/>
    <mergeCell ref="E21:F21"/>
    <mergeCell ref="G24:H24"/>
    <mergeCell ref="B29:D29"/>
    <mergeCell ref="B50:B51"/>
    <mergeCell ref="C40:D40"/>
    <mergeCell ref="B52:B54"/>
    <mergeCell ref="A20:A28"/>
    <mergeCell ref="C30:D30"/>
    <mergeCell ref="G30:H30"/>
    <mergeCell ref="K30:M30"/>
    <mergeCell ref="G25:H25"/>
    <mergeCell ref="G26:H26"/>
    <mergeCell ref="G28:H28"/>
    <mergeCell ref="K54:M54"/>
    <mergeCell ref="K31:M31"/>
    <mergeCell ref="G41:H41"/>
    <mergeCell ref="G42:H42"/>
    <mergeCell ref="G43:H43"/>
    <mergeCell ref="G44:H44"/>
    <mergeCell ref="C49:D49"/>
    <mergeCell ref="K33:M33"/>
    <mergeCell ref="K46:M46"/>
    <mergeCell ref="K47:M47"/>
    <mergeCell ref="E22:F22"/>
    <mergeCell ref="B30:B37"/>
  </mergeCells>
  <conditionalFormatting sqref="C13:C17">
    <cfRule type="cellIs" dxfId="1" priority="1" operator="lessThan">
      <formula>0.9</formula>
    </cfRule>
  </conditionalFormatting>
  <pageMargins left="0.23622047244094491" right="0.23622047244094491" top="0.74803149606299213" bottom="0.74803149606299213" header="0.31496062992125984" footer="0.31496062992125984"/>
  <pageSetup paperSize="9" scale="27" orientation="landscape" r:id="rId1"/>
  <headerFooter>
    <oddFooter>&amp;LAC48/G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200-000000000000}">
          <x14:formula1>
            <xm:f>'menu déroulant'!$E$3:$E$6</xm:f>
          </x14:formula1>
          <xm:sqref>E24:F24</xm:sqref>
        </x14:dataValidation>
        <x14:dataValidation type="list" allowBlank="1" showInputMessage="1" showErrorMessage="1" xr:uid="{00000000-0002-0000-0200-000001000000}">
          <x14:formula1>
            <xm:f>'menu déroulant'!$A$3:$A$5</xm:f>
          </x14:formula1>
          <xm:sqref>E25:F27</xm:sqref>
        </x14:dataValidation>
        <x14:dataValidation type="list" allowBlank="1" showInputMessage="1" showErrorMessage="1" xr:uid="{00000000-0002-0000-0200-000002000000}">
          <x14:formula1>
            <xm:f>'menu déroulant'!$B$3:$B$11</xm:f>
          </x14:formula1>
          <xm:sqref>E28:F28</xm:sqref>
        </x14:dataValidation>
        <x14:dataValidation type="list" allowBlank="1" showInputMessage="1" showErrorMessage="1" xr:uid="{00000000-0002-0000-0200-000003000000}">
          <x14:formula1>
            <xm:f>'menu déroulant'!$H$3:$H$5</xm:f>
          </x14:formula1>
          <xm:sqref>C6</xm:sqref>
        </x14:dataValidation>
        <x14:dataValidation type="list" allowBlank="1" showInputMessage="1" showErrorMessage="1" xr:uid="{00000000-0002-0000-0200-000004000000}">
          <x14:formula1>
            <xm:f>'menu déroulant'!$G$3:$G$6</xm:f>
          </x14:formula1>
          <xm:sqref>I54 I30:I45</xm:sqref>
        </x14:dataValidation>
        <x14:dataValidation type="list" allowBlank="1" showInputMessage="1" showErrorMessage="1" xr:uid="{00000000-0002-0000-0200-000005000000}">
          <x14:formula1>
            <xm:f>'menu déroulant'!$F$3:$F$6</xm:f>
          </x14:formula1>
          <xm:sqref>E30:E45</xm:sqref>
        </x14:dataValidation>
        <x14:dataValidation type="list" allowBlank="1" showInputMessage="1" showErrorMessage="1" xr:uid="{BC9B052B-814F-4096-A9C3-DBC05866E3D5}">
          <x14:formula1>
            <xm:f>'menu déroulant'!$I$3:$I$6</xm:f>
          </x14:formula1>
          <xm:sqref>G38</xm:sqref>
        </x14:dataValidation>
        <x14:dataValidation type="list" allowBlank="1" showInputMessage="1" showErrorMessage="1" xr:uid="{56560F18-412F-405B-8998-98DB3B318360}">
          <x14:formula1>
            <xm:f>'menu déroulant'!$J$3:$J$4</xm:f>
          </x14:formula1>
          <xm:sqref>G54</xm:sqref>
        </x14:dataValidation>
        <x14:dataValidation type="list" allowBlank="1" showInputMessage="1" showErrorMessage="1" xr:uid="{5347B81C-BA25-430E-A326-B7E1C8D4ABC0}">
          <x14:formula1>
            <xm:f>'menu déroulant'!$K$3:$K$5</xm:f>
          </x14:formula1>
          <xm:sqref>G40</xm:sqref>
        </x14:dataValidation>
        <x14:dataValidation type="list" allowBlank="1" showInputMessage="1" showErrorMessage="1" xr:uid="{017F043B-33DC-4D2C-86C9-ED13E6D9EF67}">
          <x14:formula1>
            <xm:f>'menu déroulant'!$J$3:$J$5</xm:f>
          </x14:formula1>
          <xm:sqref>G39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2FF8-0CA2-4A44-B055-8B59E0A00A58}">
  <sheetPr>
    <pageSetUpPr fitToPage="1"/>
  </sheetPr>
  <dimension ref="A1:S59"/>
  <sheetViews>
    <sheetView showGridLines="0" zoomScale="90" zoomScaleNormal="90" workbookViewId="0">
      <selection activeCell="E6" sqref="E6"/>
    </sheetView>
  </sheetViews>
  <sheetFormatPr baseColWidth="10" defaultRowHeight="14.4" x14ac:dyDescent="0.3"/>
  <cols>
    <col min="1" max="1" width="29.33203125" style="24" customWidth="1"/>
    <col min="2" max="2" width="5.109375" style="24" customWidth="1"/>
    <col min="3" max="3" width="19" customWidth="1"/>
    <col min="4" max="4" width="37.33203125" customWidth="1"/>
    <col min="5" max="5" width="18.44140625" customWidth="1"/>
    <col min="6" max="6" width="8.33203125" customWidth="1"/>
    <col min="7" max="7" width="9.6640625" customWidth="1"/>
    <col min="8" max="8" width="12.88671875" customWidth="1"/>
    <col min="9" max="9" width="21.88671875" customWidth="1"/>
    <col min="10" max="10" width="8.33203125" customWidth="1"/>
    <col min="11" max="12" width="16.33203125" customWidth="1"/>
    <col min="13" max="13" width="5.109375" customWidth="1"/>
    <col min="14" max="14" width="16.88671875" customWidth="1"/>
    <col min="15" max="15" width="12.109375" customWidth="1"/>
    <col min="16" max="16" width="11.33203125" customWidth="1"/>
    <col min="17" max="17" width="19.5546875" customWidth="1"/>
    <col min="18" max="18" width="12.5546875" customWidth="1"/>
  </cols>
  <sheetData>
    <row r="1" spans="1:18" ht="39" customHeight="1" thickBot="1" x14ac:dyDescent="0.35">
      <c r="A1" s="79"/>
      <c r="B1" s="26"/>
      <c r="C1" s="21"/>
      <c r="D1" s="22"/>
      <c r="E1" s="246" t="s">
        <v>152</v>
      </c>
      <c r="F1" s="247"/>
      <c r="G1" s="247"/>
      <c r="H1" s="247"/>
      <c r="I1" s="247"/>
      <c r="J1" s="247"/>
      <c r="K1" s="248"/>
      <c r="L1" s="222" t="s">
        <v>11</v>
      </c>
      <c r="M1" s="223"/>
      <c r="N1" s="67" t="s">
        <v>13</v>
      </c>
      <c r="O1" s="20"/>
      <c r="P1" s="20"/>
    </row>
    <row r="2" spans="1:18" ht="48" customHeight="1" thickBot="1" x14ac:dyDescent="0.35">
      <c r="A2" s="80"/>
      <c r="B2" s="81"/>
      <c r="C2" s="18"/>
      <c r="D2" s="19"/>
      <c r="E2" s="249" t="s">
        <v>5</v>
      </c>
      <c r="F2" s="250"/>
      <c r="G2" s="250"/>
      <c r="H2" s="250"/>
      <c r="I2" s="250"/>
      <c r="J2" s="250"/>
      <c r="K2" s="251"/>
      <c r="L2" s="222" t="s">
        <v>40</v>
      </c>
      <c r="M2" s="223"/>
      <c r="N2" s="67" t="s">
        <v>39</v>
      </c>
    </row>
    <row r="3" spans="1:18" ht="20.399999999999999" customHeight="1" thickBot="1" x14ac:dyDescent="0.35">
      <c r="A3" s="75"/>
      <c r="B3" s="75"/>
      <c r="H3" s="147"/>
    </row>
    <row r="4" spans="1:18" s="3" customFormat="1" ht="37.200000000000003" customHeight="1" thickBot="1" x14ac:dyDescent="0.35">
      <c r="A4" s="263" t="str">
        <f>"Adresse &amp; contact : "&amp;E2</f>
        <v>Adresse &amp; contact : Fournisseur</v>
      </c>
      <c r="B4" s="264"/>
      <c r="C4" s="65" t="s">
        <v>42</v>
      </c>
      <c r="D4" s="64"/>
      <c r="E4" s="4"/>
      <c r="F4" s="4"/>
      <c r="G4" s="4"/>
      <c r="H4" s="148"/>
      <c r="K4" s="4"/>
      <c r="L4" s="4"/>
      <c r="M4" s="4"/>
      <c r="N4" s="4"/>
      <c r="O4" s="4"/>
      <c r="P4" s="4"/>
      <c r="Q4" s="4"/>
      <c r="R4" s="4"/>
    </row>
    <row r="5" spans="1:18" s="3" customFormat="1" ht="37.200000000000003" customHeight="1" thickBot="1" x14ac:dyDescent="0.35">
      <c r="A5" s="265"/>
      <c r="B5" s="266"/>
      <c r="C5" s="65" t="s">
        <v>41</v>
      </c>
      <c r="D5" s="64"/>
      <c r="H5" s="149"/>
      <c r="I5" s="5"/>
      <c r="J5" s="5"/>
      <c r="K5" s="15"/>
      <c r="L5" s="15"/>
      <c r="M5" s="15"/>
      <c r="N5" s="15"/>
      <c r="O5" s="15"/>
      <c r="P5" s="15"/>
      <c r="Q5" s="15"/>
      <c r="R5" s="15"/>
    </row>
    <row r="6" spans="1:18" s="3" customFormat="1" ht="37.200000000000003" customHeight="1" thickBot="1" x14ac:dyDescent="0.35">
      <c r="A6" s="120" t="s">
        <v>98</v>
      </c>
      <c r="B6" s="121"/>
      <c r="C6" s="122" t="s">
        <v>100</v>
      </c>
      <c r="H6" s="5"/>
      <c r="I6" s="5"/>
      <c r="J6" s="5"/>
      <c r="K6" s="15"/>
      <c r="L6" s="15"/>
      <c r="M6" s="15"/>
      <c r="N6" s="15"/>
      <c r="O6" s="15"/>
      <c r="P6" s="15"/>
      <c r="Q6" s="15"/>
      <c r="R6" s="15"/>
    </row>
    <row r="7" spans="1:18" s="3" customFormat="1" ht="15" customHeight="1" thickBot="1" x14ac:dyDescent="0.35">
      <c r="A7" s="23"/>
      <c r="B7" s="23"/>
      <c r="C7" s="16"/>
      <c r="D7" s="16"/>
      <c r="E7" s="16"/>
      <c r="G7" s="16"/>
    </row>
    <row r="8" spans="1:18" s="3" customFormat="1" ht="30.6" customHeight="1" thickBot="1" x14ac:dyDescent="0.35">
      <c r="A8" s="271" t="s">
        <v>118</v>
      </c>
      <c r="B8" s="272"/>
      <c r="C8" s="66" t="e">
        <f>1-SUM(G20:H28)/40</f>
        <v>#DIV/0!</v>
      </c>
      <c r="D8" s="137"/>
      <c r="E8" s="17"/>
      <c r="G8" s="17"/>
    </row>
    <row r="9" spans="1:18" s="11" customFormat="1" ht="7.5" customHeight="1" thickBot="1" x14ac:dyDescent="0.35">
      <c r="A9" s="118"/>
      <c r="B9" s="118"/>
      <c r="C9" s="119"/>
      <c r="E9" s="17"/>
      <c r="F9" s="17"/>
      <c r="G9" s="17"/>
    </row>
    <row r="10" spans="1:18" s="3" customFormat="1" ht="30.6" customHeight="1" thickBot="1" x14ac:dyDescent="0.35">
      <c r="A10" s="271" t="s">
        <v>104</v>
      </c>
      <c r="B10" s="272"/>
      <c r="C10" s="66" t="e">
        <f>AVERAGE(C11:C17)</f>
        <v>#DIV/0!</v>
      </c>
      <c r="E10" s="124"/>
      <c r="F10" s="124"/>
    </row>
    <row r="11" spans="1:18" s="3" customFormat="1" ht="18.75" customHeight="1" thickBot="1" x14ac:dyDescent="0.35">
      <c r="A11" s="286" t="s">
        <v>15</v>
      </c>
      <c r="B11" s="287"/>
      <c r="C11" s="115" t="e">
        <f>Q30</f>
        <v>#DIV/0!</v>
      </c>
      <c r="D11" s="99"/>
      <c r="E11" s="124"/>
      <c r="F11" s="124"/>
    </row>
    <row r="12" spans="1:18" s="3" customFormat="1" ht="18.75" customHeight="1" x14ac:dyDescent="0.3">
      <c r="A12" s="286" t="s">
        <v>140</v>
      </c>
      <c r="B12" s="287"/>
      <c r="C12" s="166">
        <f>Q38</f>
        <v>0.75</v>
      </c>
      <c r="D12" s="99"/>
      <c r="E12" s="124"/>
      <c r="F12" s="124"/>
    </row>
    <row r="13" spans="1:18" s="3" customFormat="1" ht="19.5" customHeight="1" x14ac:dyDescent="0.3">
      <c r="A13" s="284" t="s">
        <v>106</v>
      </c>
      <c r="B13" s="285"/>
      <c r="C13" s="116">
        <f>Q41</f>
        <v>0.94462500000000005</v>
      </c>
      <c r="D13" s="99" t="str">
        <f>IF(C13&lt;0.9,"Voir Action PDCA","")</f>
        <v/>
      </c>
      <c r="E13" s="124"/>
      <c r="F13" s="124"/>
      <c r="N13" s="124"/>
    </row>
    <row r="14" spans="1:18" s="3" customFormat="1" ht="18.600000000000001" customHeight="1" x14ac:dyDescent="0.3">
      <c r="A14" s="284" t="s">
        <v>107</v>
      </c>
      <c r="B14" s="285"/>
      <c r="C14" s="116" t="str">
        <f>Q46</f>
        <v/>
      </c>
      <c r="D14" s="142" t="str">
        <f>IF(C14&lt;0.9,"Voir Action PDCA","")</f>
        <v/>
      </c>
      <c r="E14" s="124"/>
      <c r="F14" s="124"/>
    </row>
    <row r="15" spans="1:18" s="3" customFormat="1" ht="19.5" customHeight="1" x14ac:dyDescent="0.3">
      <c r="A15" s="284" t="s">
        <v>117</v>
      </c>
      <c r="B15" s="285"/>
      <c r="C15" s="123">
        <f>Q50</f>
        <v>0.84375</v>
      </c>
      <c r="D15" s="142" t="str">
        <f t="shared" ref="D15:D17" si="0">IF(C15&lt;0.9,"Voir Action PDCA","")</f>
        <v>Voir Action PDCA</v>
      </c>
      <c r="E15" s="124"/>
      <c r="F15" s="124"/>
      <c r="N15" s="138"/>
    </row>
    <row r="16" spans="1:18" s="3" customFormat="1" ht="19.5" customHeight="1" x14ac:dyDescent="0.3">
      <c r="A16" s="284" t="s">
        <v>108</v>
      </c>
      <c r="B16" s="285"/>
      <c r="C16" s="123">
        <f>Q52</f>
        <v>0.86875000000000002</v>
      </c>
      <c r="D16" s="99" t="str">
        <f t="shared" si="0"/>
        <v>Voir Action PDCA</v>
      </c>
      <c r="E16" s="124"/>
      <c r="F16" s="124"/>
      <c r="N16" s="138"/>
    </row>
    <row r="17" spans="1:18" s="3" customFormat="1" ht="18.75" customHeight="1" thickBot="1" x14ac:dyDescent="0.35">
      <c r="A17" s="289" t="s">
        <v>89</v>
      </c>
      <c r="B17" s="290"/>
      <c r="C17" s="117">
        <f>Q55</f>
        <v>0.94374999999999998</v>
      </c>
      <c r="D17" s="99" t="str">
        <f t="shared" si="0"/>
        <v/>
      </c>
      <c r="E17" s="124"/>
      <c r="F17" s="124"/>
      <c r="N17" s="138"/>
    </row>
    <row r="18" spans="1:18" s="6" customFormat="1" ht="15" customHeight="1" thickBot="1" x14ac:dyDescent="0.35">
      <c r="A18" s="25"/>
      <c r="B18" s="25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139"/>
      <c r="O18" s="63"/>
      <c r="P18" s="63"/>
      <c r="Q18" s="63"/>
      <c r="R18" s="63"/>
    </row>
    <row r="19" spans="1:18" s="3" customFormat="1" ht="33.75" customHeight="1" thickBot="1" x14ac:dyDescent="0.35">
      <c r="A19" s="68" t="s">
        <v>0</v>
      </c>
      <c r="B19" s="273" t="s">
        <v>12</v>
      </c>
      <c r="C19" s="189"/>
      <c r="D19" s="190"/>
      <c r="E19" s="226" t="s">
        <v>49</v>
      </c>
      <c r="F19" s="227"/>
      <c r="G19" s="306" t="s">
        <v>36</v>
      </c>
      <c r="H19" s="307"/>
      <c r="I19" s="303" t="s">
        <v>22</v>
      </c>
      <c r="J19" s="304"/>
      <c r="K19" s="305"/>
      <c r="N19" s="138"/>
    </row>
    <row r="20" spans="1:18" s="42" customFormat="1" ht="31.95" customHeight="1" x14ac:dyDescent="0.3">
      <c r="A20" s="195"/>
      <c r="B20" s="76"/>
      <c r="C20" s="278" t="s">
        <v>21</v>
      </c>
      <c r="D20" s="279"/>
      <c r="E20" s="228"/>
      <c r="F20" s="229"/>
      <c r="G20" s="308">
        <f>IF(C6="Fabricant",IF(E20&lt;=5,1,IF(E20&lt;=10,3,5)),IF(C6="Distributeur",IF(E20&lt;=99,1,IF(E20&lt;=499,3,5)),IF(C6="Sous-traitance de compétence",IF(E20&lt;=5,1,IF(E20&lt;=10,3,5)),"Fill Supplier type")))</f>
        <v>1</v>
      </c>
      <c r="H20" s="309"/>
      <c r="I20" s="241"/>
      <c r="J20" s="242"/>
      <c r="K20" s="243"/>
      <c r="N20" s="140"/>
    </row>
    <row r="21" spans="1:18" s="42" customFormat="1" ht="31.5" customHeight="1" x14ac:dyDescent="0.3">
      <c r="A21" s="195"/>
      <c r="B21" s="77"/>
      <c r="C21" s="280" t="s">
        <v>95</v>
      </c>
      <c r="D21" s="281"/>
      <c r="E21" s="230"/>
      <c r="F21" s="231"/>
      <c r="G21" s="186">
        <f>IF(C6="Fabricant",IF(E21&lt;10,1,IF(E21&lt;50,3,5)),IF(C6="Distributeur",IF(E21&lt;200,1,IF(E21&lt;800,3,5)),IF(C6="Sous-traitance de compétence",IF(E21&lt;10,1,IF(E21&lt;50,3,5)),"Fill Supplier type")))</f>
        <v>1</v>
      </c>
      <c r="H21" s="187"/>
      <c r="I21" s="238"/>
      <c r="J21" s="239"/>
      <c r="K21" s="240"/>
      <c r="N21" s="140"/>
    </row>
    <row r="22" spans="1:18" s="42" customFormat="1" ht="31.95" customHeight="1" x14ac:dyDescent="0.3">
      <c r="A22" s="195"/>
      <c r="B22" s="151"/>
      <c r="C22" s="282" t="s">
        <v>51</v>
      </c>
      <c r="D22" s="283"/>
      <c r="E22" s="217"/>
      <c r="F22" s="218"/>
      <c r="G22" s="252" t="e">
        <f>IF(E22/E23&gt;=0.15,5,IF(E22&lt;10000,1,IF(E22&lt;50000,3,5)))</f>
        <v>#DIV/0!</v>
      </c>
      <c r="H22" s="253"/>
      <c r="I22" s="257"/>
      <c r="J22" s="258"/>
      <c r="K22" s="259"/>
      <c r="N22" s="140"/>
    </row>
    <row r="23" spans="1:18" s="42" customFormat="1" ht="21" customHeight="1" x14ac:dyDescent="0.3">
      <c r="A23" s="195"/>
      <c r="B23" s="76"/>
      <c r="C23" s="278" t="s">
        <v>83</v>
      </c>
      <c r="D23" s="279"/>
      <c r="E23" s="244"/>
      <c r="F23" s="245"/>
      <c r="G23" s="314"/>
      <c r="H23" s="315"/>
      <c r="I23" s="260"/>
      <c r="J23" s="261"/>
      <c r="K23" s="262"/>
    </row>
    <row r="24" spans="1:18" s="42" customFormat="1" ht="31.95" customHeight="1" x14ac:dyDescent="0.3">
      <c r="A24" s="195"/>
      <c r="B24" s="77"/>
      <c r="C24" s="280" t="s">
        <v>93</v>
      </c>
      <c r="D24" s="281"/>
      <c r="E24" s="230"/>
      <c r="F24" s="231"/>
      <c r="G24" s="186">
        <f>IF(E24="stranger",1,IF(E24="repeater",3,5))</f>
        <v>5</v>
      </c>
      <c r="H24" s="187"/>
      <c r="I24" s="238"/>
      <c r="J24" s="239"/>
      <c r="K24" s="240"/>
    </row>
    <row r="25" spans="1:18" s="42" customFormat="1" ht="31.95" customHeight="1" x14ac:dyDescent="0.3">
      <c r="A25" s="195"/>
      <c r="B25" s="77"/>
      <c r="C25" s="280" t="s">
        <v>18</v>
      </c>
      <c r="D25" s="281"/>
      <c r="E25" s="230"/>
      <c r="F25" s="231"/>
      <c r="G25" s="186">
        <f>IF(E25="Peu risqué",1,IF(E25="Risqué",3,5))</f>
        <v>5</v>
      </c>
      <c r="H25" s="187"/>
      <c r="I25" s="238"/>
      <c r="J25" s="239"/>
      <c r="K25" s="240"/>
    </row>
    <row r="26" spans="1:18" s="42" customFormat="1" ht="31.95" customHeight="1" x14ac:dyDescent="0.3">
      <c r="A26" s="195"/>
      <c r="B26" s="77"/>
      <c r="C26" s="280" t="s">
        <v>19</v>
      </c>
      <c r="D26" s="281"/>
      <c r="E26" s="230"/>
      <c r="F26" s="231"/>
      <c r="G26" s="186">
        <f>IF(E26="Peu risqué",1,IF(E26="Risqué",3,5))</f>
        <v>5</v>
      </c>
      <c r="H26" s="187"/>
      <c r="I26" s="238"/>
      <c r="J26" s="239"/>
      <c r="K26" s="240"/>
    </row>
    <row r="27" spans="1:18" s="42" customFormat="1" ht="31.95" customHeight="1" x14ac:dyDescent="0.3">
      <c r="A27" s="195"/>
      <c r="B27" s="131"/>
      <c r="C27" s="280" t="s">
        <v>119</v>
      </c>
      <c r="D27" s="281"/>
      <c r="E27" s="230"/>
      <c r="F27" s="231"/>
      <c r="G27" s="186">
        <f>IF(E27="Peu risqué",1,IF(E27="Risqué",3,5))</f>
        <v>5</v>
      </c>
      <c r="H27" s="187"/>
      <c r="I27" s="132"/>
      <c r="J27" s="133"/>
      <c r="K27" s="134"/>
    </row>
    <row r="28" spans="1:18" s="42" customFormat="1" ht="31.95" customHeight="1" thickBot="1" x14ac:dyDescent="0.35">
      <c r="A28" s="195"/>
      <c r="B28" s="78"/>
      <c r="C28" s="355" t="s">
        <v>20</v>
      </c>
      <c r="D28" s="300"/>
      <c r="E28" s="232"/>
      <c r="F28" s="233"/>
      <c r="G28" s="203">
        <f>IF(E28="A1",1,IF(E28="A2",1,IF(E28="A3",1,IF(E28="A4",1,IF(E28="B",3,5)))))</f>
        <v>5</v>
      </c>
      <c r="H28" s="204"/>
      <c r="I28" s="235"/>
      <c r="J28" s="236"/>
      <c r="K28" s="237"/>
    </row>
    <row r="29" spans="1:18" s="42" customFormat="1" ht="48" customHeight="1" thickBot="1" x14ac:dyDescent="0.35">
      <c r="A29" s="128" t="s">
        <v>0</v>
      </c>
      <c r="B29" s="188" t="s">
        <v>12</v>
      </c>
      <c r="C29" s="189"/>
      <c r="D29" s="190"/>
      <c r="E29" s="234" t="s">
        <v>2</v>
      </c>
      <c r="F29" s="224"/>
      <c r="G29" s="234" t="s">
        <v>23</v>
      </c>
      <c r="H29" s="225"/>
      <c r="I29" s="224" t="s">
        <v>24</v>
      </c>
      <c r="J29" s="225"/>
      <c r="K29" s="254" t="s">
        <v>22</v>
      </c>
      <c r="L29" s="255"/>
      <c r="M29" s="256"/>
      <c r="N29" s="69" t="s">
        <v>1</v>
      </c>
      <c r="O29" s="69" t="s">
        <v>101</v>
      </c>
      <c r="P29" s="69" t="s">
        <v>102</v>
      </c>
      <c r="Q29" s="69" t="s">
        <v>103</v>
      </c>
      <c r="R29" s="69" t="s">
        <v>112</v>
      </c>
    </row>
    <row r="30" spans="1:18" ht="31.95" customHeight="1" thickBot="1" x14ac:dyDescent="0.35">
      <c r="A30" s="267"/>
      <c r="B30" s="219" t="s">
        <v>71</v>
      </c>
      <c r="C30" s="196" t="s">
        <v>21</v>
      </c>
      <c r="D30" s="197"/>
      <c r="E30" s="100" t="s">
        <v>29</v>
      </c>
      <c r="F30" s="103">
        <f>VLOOKUP(E30,'Mode d''emploi'!$C$85:$D$96,2,FALSE)</f>
        <v>0.75</v>
      </c>
      <c r="G30" s="318">
        <f>IF(G21=1,10%,IF(G21=3,50%,100%))</f>
        <v>0.1</v>
      </c>
      <c r="H30" s="319"/>
      <c r="I30" s="108" t="s">
        <v>33</v>
      </c>
      <c r="J30" s="103">
        <f>VLOOKUP(I30,'Mode d''emploi'!$C$85:$D$96,2,FALSE)</f>
        <v>0.25</v>
      </c>
      <c r="K30" s="200"/>
      <c r="L30" s="201"/>
      <c r="M30" s="202"/>
      <c r="N30" s="113">
        <f>F30*G30*J30</f>
        <v>1.8750000000000003E-2</v>
      </c>
      <c r="O30" s="126">
        <v>1</v>
      </c>
      <c r="P30" s="316" t="e">
        <f>SUMPRODUCT(N30:N37,O30:O37)/SUM(O30:O37)</f>
        <v>#DIV/0!</v>
      </c>
      <c r="Q30" s="316" t="e">
        <f>1-P30</f>
        <v>#DIV/0!</v>
      </c>
      <c r="R30" s="316"/>
    </row>
    <row r="31" spans="1:18" ht="31.95" customHeight="1" thickBot="1" x14ac:dyDescent="0.35">
      <c r="A31" s="267"/>
      <c r="B31" s="220"/>
      <c r="C31" s="196" t="s">
        <v>50</v>
      </c>
      <c r="D31" s="197"/>
      <c r="E31" s="100" t="s">
        <v>29</v>
      </c>
      <c r="F31" s="103">
        <f>VLOOKUP(E31,'Mode d''emploi'!$C$85:$D$96,2,FALSE)</f>
        <v>0.75</v>
      </c>
      <c r="G31" s="318">
        <f>IF(G21=1,10%,IF(G21=3,50%,100%))</f>
        <v>0.1</v>
      </c>
      <c r="H31" s="319"/>
      <c r="I31" s="108" t="s">
        <v>33</v>
      </c>
      <c r="J31" s="103">
        <f>VLOOKUP(I31,'Mode d''emploi'!$C$85:$D$96,2,FALSE)</f>
        <v>0.25</v>
      </c>
      <c r="K31" s="200"/>
      <c r="L31" s="201"/>
      <c r="M31" s="202"/>
      <c r="N31" s="113">
        <f t="shared" ref="N31:N58" si="1">F31*G31*J31</f>
        <v>1.8750000000000003E-2</v>
      </c>
      <c r="O31" s="126">
        <v>1</v>
      </c>
      <c r="P31" s="316"/>
      <c r="Q31" s="316"/>
      <c r="R31" s="316"/>
    </row>
    <row r="32" spans="1:18" ht="31.95" customHeight="1" thickBot="1" x14ac:dyDescent="0.35">
      <c r="A32" s="267"/>
      <c r="B32" s="220"/>
      <c r="C32" s="196" t="s">
        <v>16</v>
      </c>
      <c r="D32" s="197"/>
      <c r="E32" s="100" t="s">
        <v>29</v>
      </c>
      <c r="F32" s="103">
        <f>VLOOKUP(E32,'Mode d''emploi'!$C$85:$D$96,2,FALSE)</f>
        <v>0.75</v>
      </c>
      <c r="G32" s="318" t="e">
        <f>IF(G22=1,10%,IF(G22=3,50%,100%))</f>
        <v>#DIV/0!</v>
      </c>
      <c r="H32" s="319"/>
      <c r="I32" s="108" t="s">
        <v>33</v>
      </c>
      <c r="J32" s="103">
        <f>VLOOKUP(I32,'Mode d''emploi'!$C$85:$D$96,2,FALSE)</f>
        <v>0.25</v>
      </c>
      <c r="K32" s="200"/>
      <c r="L32" s="201"/>
      <c r="M32" s="202"/>
      <c r="N32" s="113" t="e">
        <f t="shared" si="1"/>
        <v>#DIV/0!</v>
      </c>
      <c r="O32" s="126">
        <v>1</v>
      </c>
      <c r="P32" s="316"/>
      <c r="Q32" s="316"/>
      <c r="R32" s="316"/>
    </row>
    <row r="33" spans="1:18" ht="31.95" customHeight="1" thickBot="1" x14ac:dyDescent="0.35">
      <c r="A33" s="267"/>
      <c r="B33" s="220"/>
      <c r="C33" s="196" t="s">
        <v>17</v>
      </c>
      <c r="D33" s="197"/>
      <c r="E33" s="100" t="s">
        <v>29</v>
      </c>
      <c r="F33" s="103">
        <f>VLOOKUP(E33,'Mode d''emploi'!$C$85:$D$96,2,FALSE)</f>
        <v>0.75</v>
      </c>
      <c r="G33" s="318">
        <f>IF(G24=1,10%,IF(G24=3,50%,100%))</f>
        <v>1</v>
      </c>
      <c r="H33" s="319"/>
      <c r="I33" s="108" t="s">
        <v>33</v>
      </c>
      <c r="J33" s="103">
        <f>VLOOKUP(I33,'Mode d''emploi'!$C$85:$D$96,2,FALSE)</f>
        <v>0.25</v>
      </c>
      <c r="K33" s="200"/>
      <c r="L33" s="201"/>
      <c r="M33" s="202"/>
      <c r="N33" s="113">
        <f t="shared" si="1"/>
        <v>0.1875</v>
      </c>
      <c r="O33" s="126">
        <v>1</v>
      </c>
      <c r="P33" s="316"/>
      <c r="Q33" s="316"/>
      <c r="R33" s="316"/>
    </row>
    <row r="34" spans="1:18" ht="31.95" customHeight="1" thickBot="1" x14ac:dyDescent="0.35">
      <c r="A34" s="267"/>
      <c r="B34" s="220"/>
      <c r="C34" s="196" t="s">
        <v>18</v>
      </c>
      <c r="D34" s="197"/>
      <c r="E34" s="100" t="s">
        <v>29</v>
      </c>
      <c r="F34" s="103">
        <f>VLOOKUP(E34,'Mode d''emploi'!$C$85:$D$96,2,FALSE)</f>
        <v>0.75</v>
      </c>
      <c r="G34" s="318">
        <f>IF(G25=1,10%,IF(G25=3,50%,100%))</f>
        <v>1</v>
      </c>
      <c r="H34" s="319"/>
      <c r="I34" s="108" t="s">
        <v>33</v>
      </c>
      <c r="J34" s="103">
        <f>VLOOKUP(I34,'Mode d''emploi'!$C$85:$D$96,2,FALSE)</f>
        <v>0.25</v>
      </c>
      <c r="K34" s="200"/>
      <c r="L34" s="201"/>
      <c r="M34" s="202"/>
      <c r="N34" s="113">
        <f t="shared" si="1"/>
        <v>0.1875</v>
      </c>
      <c r="O34" s="126">
        <v>1</v>
      </c>
      <c r="P34" s="316"/>
      <c r="Q34" s="316"/>
      <c r="R34" s="316"/>
    </row>
    <row r="35" spans="1:18" ht="31.95" customHeight="1" thickBot="1" x14ac:dyDescent="0.35">
      <c r="A35" s="267"/>
      <c r="B35" s="220"/>
      <c r="C35" s="196" t="s">
        <v>19</v>
      </c>
      <c r="D35" s="197"/>
      <c r="E35" s="100" t="s">
        <v>29</v>
      </c>
      <c r="F35" s="103">
        <f>VLOOKUP(E35,'Mode d''emploi'!$C$85:$D$96,2,FALSE)</f>
        <v>0.75</v>
      </c>
      <c r="G35" s="318">
        <f>IF(G26=1,10%,IF(G26=3,50%,100%))</f>
        <v>1</v>
      </c>
      <c r="H35" s="319"/>
      <c r="I35" s="108" t="s">
        <v>33</v>
      </c>
      <c r="J35" s="103">
        <f>VLOOKUP(I35,'Mode d''emploi'!$C$85:$D$96,2,FALSE)</f>
        <v>0.25</v>
      </c>
      <c r="K35" s="200"/>
      <c r="L35" s="201"/>
      <c r="M35" s="202"/>
      <c r="N35" s="113">
        <f t="shared" si="1"/>
        <v>0.1875</v>
      </c>
      <c r="O35" s="126">
        <v>1</v>
      </c>
      <c r="P35" s="316"/>
      <c r="Q35" s="316"/>
      <c r="R35" s="316"/>
    </row>
    <row r="36" spans="1:18" ht="31.95" customHeight="1" thickBot="1" x14ac:dyDescent="0.35">
      <c r="A36" s="267"/>
      <c r="B36" s="220"/>
      <c r="C36" s="196" t="s">
        <v>119</v>
      </c>
      <c r="D36" s="197"/>
      <c r="E36" s="100" t="s">
        <v>29</v>
      </c>
      <c r="F36" s="103">
        <f>VLOOKUP(E36,'Mode d''emploi'!$C$85:$D$96,2,FALSE)</f>
        <v>0.75</v>
      </c>
      <c r="G36" s="318">
        <f>IF(G27=1,10%,IF(G27=3,50%,100%))</f>
        <v>1</v>
      </c>
      <c r="H36" s="319"/>
      <c r="I36" s="108" t="s">
        <v>33</v>
      </c>
      <c r="J36" s="103">
        <f>VLOOKUP(I36,'Mode d''emploi'!$C$85:$D$96,2,FALSE)</f>
        <v>0.25</v>
      </c>
      <c r="K36" s="200"/>
      <c r="L36" s="201"/>
      <c r="M36" s="202"/>
      <c r="N36" s="113">
        <f t="shared" si="1"/>
        <v>0.1875</v>
      </c>
      <c r="O36" s="136">
        <v>1</v>
      </c>
      <c r="P36" s="316"/>
      <c r="Q36" s="316"/>
      <c r="R36" s="316"/>
    </row>
    <row r="37" spans="1:18" ht="31.95" customHeight="1" thickBot="1" x14ac:dyDescent="0.35">
      <c r="A37" s="267"/>
      <c r="B37" s="221"/>
      <c r="C37" s="312" t="s">
        <v>20</v>
      </c>
      <c r="D37" s="275"/>
      <c r="E37" s="106" t="s">
        <v>28</v>
      </c>
      <c r="F37" s="105">
        <f>VLOOKUP(E37,'Mode d''emploi'!$C$85:$D$96,2,FALSE)</f>
        <v>0.25</v>
      </c>
      <c r="G37" s="364">
        <f>IF(G28=1,10%,IF(G28=3,50%,100%))</f>
        <v>1</v>
      </c>
      <c r="H37" s="365"/>
      <c r="I37" s="155" t="s">
        <v>33</v>
      </c>
      <c r="J37" s="105">
        <f>VLOOKUP(I37,'Mode d''emploi'!$C$85:$D$96,2,FALSE)</f>
        <v>0.25</v>
      </c>
      <c r="K37" s="344"/>
      <c r="L37" s="345"/>
      <c r="M37" s="346"/>
      <c r="N37" s="135">
        <f t="shared" si="1"/>
        <v>6.25E-2</v>
      </c>
      <c r="O37" s="136">
        <v>1</v>
      </c>
      <c r="P37" s="316"/>
      <c r="Q37" s="316"/>
      <c r="R37" s="316"/>
    </row>
    <row r="38" spans="1:18" ht="31.95" customHeight="1" thickBot="1" x14ac:dyDescent="0.35">
      <c r="A38" s="268"/>
      <c r="B38" s="332" t="s">
        <v>150</v>
      </c>
      <c r="C38" s="321" t="s">
        <v>136</v>
      </c>
      <c r="D38" s="322"/>
      <c r="E38" s="156" t="s">
        <v>43</v>
      </c>
      <c r="F38" s="158">
        <f>VLOOKUP(E38,'Mode d''emploi'!$C$85:$D$96,2,FALSE)</f>
        <v>1</v>
      </c>
      <c r="G38" s="162"/>
      <c r="H38" s="163">
        <f>IF(G38="Premium",10%,IF(G38="Preferred",10%,100%))</f>
        <v>1</v>
      </c>
      <c r="I38" s="160" t="s">
        <v>33</v>
      </c>
      <c r="J38" s="101">
        <f>VLOOKUP(I38,'Mode d''emploi'!$C$85:$D$96,2,FALSE)</f>
        <v>0.25</v>
      </c>
      <c r="K38" s="296"/>
      <c r="L38" s="213"/>
      <c r="M38" s="297"/>
      <c r="N38" s="112">
        <f>F38*H38*J38</f>
        <v>0.25</v>
      </c>
      <c r="O38" s="157">
        <v>1</v>
      </c>
      <c r="P38" s="340">
        <f>SUMPRODUCT(N38:N39,O38:O39)/SUM(O38:O39)</f>
        <v>0.25</v>
      </c>
      <c r="Q38" s="340">
        <f>1-P38</f>
        <v>0.75</v>
      </c>
      <c r="R38" s="358"/>
    </row>
    <row r="39" spans="1:18" ht="31.95" customHeight="1" thickBot="1" x14ac:dyDescent="0.35">
      <c r="A39" s="268"/>
      <c r="B39" s="333"/>
      <c r="C39" s="193" t="s">
        <v>133</v>
      </c>
      <c r="D39" s="194"/>
      <c r="E39" s="104" t="s">
        <v>43</v>
      </c>
      <c r="F39" s="159">
        <f>VLOOKUP(E39,'Mode d''emploi'!$C$85:$D$96,2,FALSE)</f>
        <v>1</v>
      </c>
      <c r="G39" s="164"/>
      <c r="H39" s="165">
        <f>IF(G39="oui",10%,100%)</f>
        <v>1</v>
      </c>
      <c r="I39" s="161" t="s">
        <v>33</v>
      </c>
      <c r="J39" s="107">
        <f>VLOOKUP(I39,'Mode d''emploi'!$C$85:$D$96,2,FALSE)</f>
        <v>0.25</v>
      </c>
      <c r="K39" s="320" t="s">
        <v>141</v>
      </c>
      <c r="L39" s="294"/>
      <c r="M39" s="295"/>
      <c r="N39" s="114">
        <f>F39*H39*J39</f>
        <v>0.25</v>
      </c>
      <c r="O39" s="127">
        <v>5</v>
      </c>
      <c r="P39" s="316"/>
      <c r="Q39" s="316"/>
      <c r="R39" s="359"/>
    </row>
    <row r="40" spans="1:18" ht="31.95" customHeight="1" thickBot="1" x14ac:dyDescent="0.35">
      <c r="A40" s="268"/>
      <c r="B40" s="334"/>
      <c r="C40" s="193" t="s">
        <v>143</v>
      </c>
      <c r="D40" s="194"/>
      <c r="E40" s="104" t="s">
        <v>43</v>
      </c>
      <c r="F40" s="159">
        <f>VLOOKUP(E40,'Mode d''emploi'!$C$85:$D$96,2,FALSE)</f>
        <v>1</v>
      </c>
      <c r="G40" s="164"/>
      <c r="H40" s="163">
        <f>IF(G40="Conforme",10%,IF(G40="Partiellement Conforme",50%,100%))</f>
        <v>1</v>
      </c>
      <c r="I40" s="161" t="s">
        <v>33</v>
      </c>
      <c r="J40" s="107">
        <f>VLOOKUP(I40,'Mode d''emploi'!$C$85:$D$96,2,FALSE)</f>
        <v>0.25</v>
      </c>
      <c r="K40" s="320" t="s">
        <v>149</v>
      </c>
      <c r="L40" s="294"/>
      <c r="M40" s="295"/>
      <c r="N40" s="114">
        <f>F40*H40*J40</f>
        <v>0.25</v>
      </c>
      <c r="O40" s="168">
        <v>5</v>
      </c>
      <c r="P40" s="360"/>
      <c r="Q40" s="360"/>
      <c r="R40" s="360"/>
    </row>
    <row r="41" spans="1:18" s="42" customFormat="1" ht="31.95" customHeight="1" thickBot="1" x14ac:dyDescent="0.35">
      <c r="A41" s="268"/>
      <c r="B41" s="191" t="s">
        <v>125</v>
      </c>
      <c r="C41" s="301" t="s">
        <v>120</v>
      </c>
      <c r="D41" s="302"/>
      <c r="E41" s="100" t="s">
        <v>29</v>
      </c>
      <c r="F41" s="101">
        <f>VLOOKUP(E41,'Mode d''emploi'!$C$85:$D$96,2,FALSE)</f>
        <v>0.75</v>
      </c>
      <c r="G41" s="208">
        <v>0</v>
      </c>
      <c r="H41" s="208"/>
      <c r="I41" s="108" t="s">
        <v>33</v>
      </c>
      <c r="J41" s="101">
        <f>VLOOKUP(I41,'Mode d''emploi'!$C$85:$D$96,2,FALSE)</f>
        <v>0.25</v>
      </c>
      <c r="K41" s="320"/>
      <c r="L41" s="294"/>
      <c r="M41" s="295"/>
      <c r="N41" s="112">
        <f t="shared" si="1"/>
        <v>0</v>
      </c>
      <c r="O41" s="125">
        <v>1</v>
      </c>
      <c r="P41" s="340">
        <f>SUMPRODUCT(N41:N45,O41:O45)/SUM(O41:O45)</f>
        <v>5.5374999999999994E-2</v>
      </c>
      <c r="Q41" s="340">
        <f>1-P41</f>
        <v>0.94462500000000005</v>
      </c>
      <c r="R41" s="340" t="s">
        <v>114</v>
      </c>
    </row>
    <row r="42" spans="1:18" s="42" customFormat="1" ht="31.95" customHeight="1" x14ac:dyDescent="0.3">
      <c r="A42" s="268"/>
      <c r="B42" s="192"/>
      <c r="C42" s="313" t="s">
        <v>121</v>
      </c>
      <c r="D42" s="197"/>
      <c r="E42" s="102" t="s">
        <v>29</v>
      </c>
      <c r="F42" s="103">
        <f>VLOOKUP(E42,'Mode d''emploi'!$C$85:$D$96,2,FALSE)</f>
        <v>0.75</v>
      </c>
      <c r="G42" s="209">
        <v>0.35</v>
      </c>
      <c r="H42" s="209"/>
      <c r="I42" s="109" t="s">
        <v>33</v>
      </c>
      <c r="J42" s="103">
        <f>VLOOKUP(I42,'Mode d''emploi'!$C$85:$D$96,2,FALSE)</f>
        <v>0.25</v>
      </c>
      <c r="K42" s="200"/>
      <c r="L42" s="201"/>
      <c r="M42" s="202"/>
      <c r="N42" s="113">
        <f t="shared" si="1"/>
        <v>6.5624999999999989E-2</v>
      </c>
      <c r="O42" s="126">
        <v>1</v>
      </c>
      <c r="P42" s="316"/>
      <c r="Q42" s="316"/>
      <c r="R42" s="316"/>
    </row>
    <row r="43" spans="1:18" s="42" customFormat="1" ht="31.95" customHeight="1" x14ac:dyDescent="0.3">
      <c r="A43" s="268"/>
      <c r="B43" s="192"/>
      <c r="C43" s="313" t="s">
        <v>122</v>
      </c>
      <c r="D43" s="197"/>
      <c r="E43" s="102" t="s">
        <v>43</v>
      </c>
      <c r="F43" s="103">
        <f>VLOOKUP(E43,'Mode d''emploi'!$C$85:$D$96,2,FALSE)</f>
        <v>1</v>
      </c>
      <c r="G43" s="209">
        <v>0.35</v>
      </c>
      <c r="H43" s="209"/>
      <c r="I43" s="109" t="s">
        <v>33</v>
      </c>
      <c r="J43" s="103">
        <f>VLOOKUP(I43,'Mode d''emploi'!$C$85:$D$96,2,FALSE)</f>
        <v>0.25</v>
      </c>
      <c r="K43" s="200"/>
      <c r="L43" s="201"/>
      <c r="M43" s="202"/>
      <c r="N43" s="113">
        <f t="shared" si="1"/>
        <v>8.7499999999999994E-2</v>
      </c>
      <c r="O43" s="126">
        <v>1</v>
      </c>
      <c r="P43" s="316"/>
      <c r="Q43" s="316"/>
      <c r="R43" s="316"/>
    </row>
    <row r="44" spans="1:18" s="42" customFormat="1" ht="31.95" customHeight="1" x14ac:dyDescent="0.3">
      <c r="A44" s="268"/>
      <c r="B44" s="192"/>
      <c r="C44" s="313" t="s">
        <v>123</v>
      </c>
      <c r="D44" s="197"/>
      <c r="E44" s="102" t="s">
        <v>29</v>
      </c>
      <c r="F44" s="103">
        <f>VLOOKUP(E44,'Mode d''emploi'!$C$85:$D$96,2,FALSE)</f>
        <v>0.75</v>
      </c>
      <c r="G44" s="209">
        <v>0.33</v>
      </c>
      <c r="H44" s="209"/>
      <c r="I44" s="109" t="s">
        <v>31</v>
      </c>
      <c r="J44" s="103">
        <f>VLOOKUP(I44,'Mode d''emploi'!$C$85:$D$96,2,FALSE)</f>
        <v>0.5</v>
      </c>
      <c r="K44" s="200"/>
      <c r="L44" s="201"/>
      <c r="M44" s="202"/>
      <c r="N44" s="113">
        <f t="shared" si="1"/>
        <v>0.12375</v>
      </c>
      <c r="O44" s="126">
        <v>1</v>
      </c>
      <c r="P44" s="316"/>
      <c r="Q44" s="316"/>
      <c r="R44" s="316"/>
    </row>
    <row r="45" spans="1:18" s="3" customFormat="1" ht="31.95" customHeight="1" thickBot="1" x14ac:dyDescent="0.35">
      <c r="A45" s="268"/>
      <c r="B45" s="270"/>
      <c r="C45" s="274" t="s">
        <v>124</v>
      </c>
      <c r="D45" s="275"/>
      <c r="E45" s="106" t="s">
        <v>29</v>
      </c>
      <c r="F45" s="105">
        <f>VLOOKUP(E45,'Mode d''emploi'!$C$85:$D$96,2,FALSE)</f>
        <v>0.75</v>
      </c>
      <c r="G45" s="329">
        <v>0</v>
      </c>
      <c r="H45" s="329"/>
      <c r="I45" s="111" t="s">
        <v>33</v>
      </c>
      <c r="J45" s="105">
        <f>VLOOKUP(I45,'Mode d''emploi'!$C$85:$D$96,2,FALSE)</f>
        <v>0.25</v>
      </c>
      <c r="K45" s="344"/>
      <c r="L45" s="345"/>
      <c r="M45" s="346"/>
      <c r="N45" s="114">
        <f t="shared" si="1"/>
        <v>0</v>
      </c>
      <c r="O45" s="127">
        <v>1</v>
      </c>
      <c r="P45" s="341"/>
      <c r="Q45" s="341"/>
      <c r="R45" s="341"/>
    </row>
    <row r="46" spans="1:18" s="3" customFormat="1" ht="31.95" customHeight="1" thickBot="1" x14ac:dyDescent="0.35">
      <c r="A46" s="268"/>
      <c r="B46" s="191" t="s">
        <v>84</v>
      </c>
      <c r="C46" s="327" t="s">
        <v>85</v>
      </c>
      <c r="D46" s="328"/>
      <c r="E46" s="100" t="s">
        <v>43</v>
      </c>
      <c r="F46" s="101">
        <f>VLOOKUP(E46,'Mode d''emploi'!$C$85:$D$96,2,FALSE)</f>
        <v>1</v>
      </c>
      <c r="G46" s="153"/>
      <c r="H46" s="98">
        <f>IF(G46=0,0%,IF(G46&lt;=3,10%,IF(G46&lt;=10,50%,100%)))</f>
        <v>0</v>
      </c>
      <c r="I46" s="108" t="s">
        <v>34</v>
      </c>
      <c r="J46" s="101">
        <f>VLOOKUP(I46,'Mode d''emploi'!$C$85:$D$96,2,FALSE)</f>
        <v>1</v>
      </c>
      <c r="K46" s="320" t="s">
        <v>142</v>
      </c>
      <c r="L46" s="294"/>
      <c r="M46" s="295"/>
      <c r="N46" s="113" t="str">
        <f>IF(G46="","",(F46*H46*J46))</f>
        <v/>
      </c>
      <c r="O46" s="125">
        <v>2</v>
      </c>
      <c r="P46" s="340" t="str">
        <f>IF(N46="","",SUMPRODUCT(N46:N49,O46:O49)/SUM(O46:O49))</f>
        <v/>
      </c>
      <c r="Q46" s="340" t="str">
        <f>IF(P46="","",(1-P46))</f>
        <v/>
      </c>
      <c r="R46" s="340" t="s">
        <v>115</v>
      </c>
    </row>
    <row r="47" spans="1:18" s="3" customFormat="1" ht="31.95" customHeight="1" x14ac:dyDescent="0.3">
      <c r="A47" s="268"/>
      <c r="B47" s="192"/>
      <c r="C47" s="288" t="s">
        <v>86</v>
      </c>
      <c r="D47" s="280"/>
      <c r="E47" s="102" t="s">
        <v>29</v>
      </c>
      <c r="F47" s="103">
        <f>VLOOKUP(E47,'Mode d''emploi'!$C$85:$D$96,2,FALSE)</f>
        <v>0.75</v>
      </c>
      <c r="G47" s="154"/>
      <c r="H47" s="96">
        <f>IF(G47=0,0%,IF(G47&lt;=10,10%,IF(G47&lt;=25,50%,100%)))</f>
        <v>0</v>
      </c>
      <c r="I47" s="109" t="s">
        <v>32</v>
      </c>
      <c r="J47" s="103">
        <f>VLOOKUP(I47,'Mode d''emploi'!$C$85:$D$96,2,FALSE)</f>
        <v>0.75</v>
      </c>
      <c r="K47" s="200"/>
      <c r="L47" s="201"/>
      <c r="M47" s="202"/>
      <c r="N47" s="113" t="str">
        <f>IF(G47="","",(F47*H47*J47))</f>
        <v/>
      </c>
      <c r="O47" s="126">
        <v>1</v>
      </c>
      <c r="P47" s="316"/>
      <c r="Q47" s="316"/>
      <c r="R47" s="316"/>
    </row>
    <row r="48" spans="1:18" s="3" customFormat="1" ht="31.95" customHeight="1" x14ac:dyDescent="0.3">
      <c r="A48" s="268"/>
      <c r="B48" s="192"/>
      <c r="C48" s="288" t="s">
        <v>87</v>
      </c>
      <c r="D48" s="280"/>
      <c r="E48" s="102" t="s">
        <v>29</v>
      </c>
      <c r="F48" s="103">
        <f>VLOOKUP(E48,'Mode d''emploi'!$C$85:$D$96,2,FALSE)</f>
        <v>0.75</v>
      </c>
      <c r="G48" s="154"/>
      <c r="H48" s="96">
        <f>IF(G48=0,0%,IF(G48&lt;=5,10%,IF(G48&lt;=10,50%,100%)))</f>
        <v>0</v>
      </c>
      <c r="I48" s="109" t="s">
        <v>31</v>
      </c>
      <c r="J48" s="103">
        <f>VLOOKUP(I48,'Mode d''emploi'!$C$85:$D$96,2,FALSE)</f>
        <v>0.5</v>
      </c>
      <c r="K48" s="200"/>
      <c r="L48" s="201"/>
      <c r="M48" s="202"/>
      <c r="N48" s="113" t="str">
        <f>IF(G48="","",(F48*H48*J48))</f>
        <v/>
      </c>
      <c r="O48" s="126">
        <v>1</v>
      </c>
      <c r="P48" s="316"/>
      <c r="Q48" s="316"/>
      <c r="R48" s="316"/>
    </row>
    <row r="49" spans="1:19" s="3" customFormat="1" ht="31.95" customHeight="1" thickBot="1" x14ac:dyDescent="0.35">
      <c r="A49" s="268"/>
      <c r="B49" s="270"/>
      <c r="C49" s="361" t="s">
        <v>88</v>
      </c>
      <c r="D49" s="355"/>
      <c r="E49" s="104" t="s">
        <v>43</v>
      </c>
      <c r="F49" s="107">
        <f>VLOOKUP(E49,'Mode d''emploi'!$C$85:$D$96,2,FALSE)</f>
        <v>1</v>
      </c>
      <c r="G49" s="154"/>
      <c r="H49" s="97">
        <f>IF(G49=0,0%,IF(G49&lt;=1,10%,IF(G49&lt;=3,50%,100%)))</f>
        <v>0</v>
      </c>
      <c r="I49" s="110" t="s">
        <v>34</v>
      </c>
      <c r="J49" s="107">
        <f>VLOOKUP(I49,'Mode d''emploi'!$C$85:$D$96,2,FALSE)</f>
        <v>1</v>
      </c>
      <c r="K49" s="320" t="s">
        <v>142</v>
      </c>
      <c r="L49" s="294"/>
      <c r="M49" s="295"/>
      <c r="N49" s="113" t="str">
        <f>IF(G49="","",(F49*H49*J49))</f>
        <v/>
      </c>
      <c r="O49" s="127">
        <v>2</v>
      </c>
      <c r="P49" s="341"/>
      <c r="Q49" s="341"/>
      <c r="R49" s="341"/>
    </row>
    <row r="50" spans="1:19" s="3" customFormat="1" ht="52.5" customHeight="1" thickBot="1" x14ac:dyDescent="0.35">
      <c r="A50" s="268"/>
      <c r="B50" s="191" t="s">
        <v>116</v>
      </c>
      <c r="C50" s="362" t="s">
        <v>45</v>
      </c>
      <c r="D50" s="363"/>
      <c r="E50" s="100" t="s">
        <v>29</v>
      </c>
      <c r="F50" s="101">
        <f>VLOOKUP(E50,'Mode d''emploi'!$C$85:$D$96,2,FALSE)</f>
        <v>0.75</v>
      </c>
      <c r="G50" s="342">
        <v>0.5</v>
      </c>
      <c r="H50" s="343"/>
      <c r="I50" s="110" t="s">
        <v>33</v>
      </c>
      <c r="J50" s="141">
        <f>VLOOKUP(I50,'Mode d''emploi'!$C$85:$D$96,2,FALSE)</f>
        <v>0.25</v>
      </c>
      <c r="K50" s="296"/>
      <c r="L50" s="213"/>
      <c r="M50" s="297"/>
      <c r="N50" s="112">
        <f t="shared" si="1"/>
        <v>9.375E-2</v>
      </c>
      <c r="O50" s="125">
        <v>1</v>
      </c>
      <c r="P50" s="340">
        <f>SUMPRODUCT(N50:N51,O50:O51)/SUM(O50:O51)</f>
        <v>0.15625</v>
      </c>
      <c r="Q50" s="340">
        <f>1-P50</f>
        <v>0.84375</v>
      </c>
      <c r="R50" s="340" t="s">
        <v>115</v>
      </c>
      <c r="S50" s="129"/>
    </row>
    <row r="51" spans="1:19" s="3" customFormat="1" ht="48" customHeight="1" thickBot="1" x14ac:dyDescent="0.35">
      <c r="A51" s="268"/>
      <c r="B51" s="192"/>
      <c r="C51" s="313" t="s">
        <v>46</v>
      </c>
      <c r="D51" s="197"/>
      <c r="E51" s="102" t="s">
        <v>29</v>
      </c>
      <c r="F51" s="103">
        <f>VLOOKUP(E51,'Mode d''emploi'!$C$85:$D$96,2,FALSE)</f>
        <v>0.75</v>
      </c>
      <c r="G51" s="350">
        <v>1</v>
      </c>
      <c r="H51" s="351"/>
      <c r="I51" s="110" t="s">
        <v>33</v>
      </c>
      <c r="J51" s="107">
        <f>VLOOKUP(I51,'Mode d''emploi'!$C$85:$D$96,2,FALSE)</f>
        <v>0.25</v>
      </c>
      <c r="K51" s="317" t="s">
        <v>141</v>
      </c>
      <c r="L51" s="201"/>
      <c r="M51" s="202"/>
      <c r="N51" s="113">
        <f>F51*G51*J51</f>
        <v>0.1875</v>
      </c>
      <c r="O51" s="126">
        <v>2</v>
      </c>
      <c r="P51" s="316"/>
      <c r="Q51" s="316"/>
      <c r="R51" s="341"/>
      <c r="S51" s="129"/>
    </row>
    <row r="52" spans="1:19" s="3" customFormat="1" ht="31.95" customHeight="1" x14ac:dyDescent="0.3">
      <c r="A52" s="268"/>
      <c r="B52" s="191" t="s">
        <v>105</v>
      </c>
      <c r="C52" s="301" t="s">
        <v>92</v>
      </c>
      <c r="D52" s="302"/>
      <c r="E52" s="100" t="s">
        <v>29</v>
      </c>
      <c r="F52" s="101">
        <f>VLOOKUP(E52,'Mode d''emploi'!$C$85:$D$96,2,FALSE)</f>
        <v>0.75</v>
      </c>
      <c r="G52" s="311">
        <v>0.1</v>
      </c>
      <c r="H52" s="311"/>
      <c r="I52" s="108" t="s">
        <v>33</v>
      </c>
      <c r="J52" s="101">
        <f>VLOOKUP(I52,'Mode d''emploi'!$C$85:$D$96,2,FALSE)</f>
        <v>0.25</v>
      </c>
      <c r="K52" s="296"/>
      <c r="L52" s="213"/>
      <c r="M52" s="297"/>
      <c r="N52" s="112">
        <f t="shared" si="1"/>
        <v>1.8750000000000003E-2</v>
      </c>
      <c r="O52" s="125">
        <v>1</v>
      </c>
      <c r="P52" s="340">
        <f>IF(N54="",SUMPRODUCT(N52:N53,O52:O53)/SUM(O52:O53),SUMPRODUCT(N52:N54,O52:O54)/SUM(O52:O54))</f>
        <v>0.13125000000000001</v>
      </c>
      <c r="Q52" s="340">
        <f>1-P52</f>
        <v>0.86875000000000002</v>
      </c>
      <c r="R52" s="340" t="s">
        <v>115</v>
      </c>
    </row>
    <row r="53" spans="1:19" s="3" customFormat="1" ht="31.95" customHeight="1" x14ac:dyDescent="0.3">
      <c r="A53" s="268"/>
      <c r="B53" s="192"/>
      <c r="C53" s="274" t="s">
        <v>111</v>
      </c>
      <c r="D53" s="275"/>
      <c r="E53" s="167" t="s">
        <v>29</v>
      </c>
      <c r="F53" s="105">
        <f>VLOOKUP(E53,'Mode d''emploi'!$C$85:$D$96,2,FALSE)</f>
        <v>0.75</v>
      </c>
      <c r="G53" s="342">
        <v>0.5</v>
      </c>
      <c r="H53" s="343"/>
      <c r="I53" s="167" t="s">
        <v>31</v>
      </c>
      <c r="J53" s="105">
        <f>VLOOKUP(I53,'Mode d''emploi'!$C$85:$D$96,2,FALSE)</f>
        <v>0.5</v>
      </c>
      <c r="K53" s="317" t="s">
        <v>141</v>
      </c>
      <c r="L53" s="201"/>
      <c r="M53" s="202"/>
      <c r="N53" s="135">
        <f>F53*G53*J53</f>
        <v>0.1875</v>
      </c>
      <c r="O53" s="136">
        <v>2</v>
      </c>
      <c r="P53" s="316"/>
      <c r="Q53" s="316"/>
      <c r="R53" s="316"/>
    </row>
    <row r="54" spans="1:19" ht="31.95" customHeight="1" thickBot="1" x14ac:dyDescent="0.35">
      <c r="A54" s="268"/>
      <c r="B54" s="192"/>
      <c r="C54" s="299" t="s">
        <v>131</v>
      </c>
      <c r="D54" s="300"/>
      <c r="E54" s="104" t="s">
        <v>30</v>
      </c>
      <c r="F54" s="107">
        <f>VLOOKUP(E54,'Mode d''emploi'!$C$85:$D$96,2,FALSE)</f>
        <v>0.5</v>
      </c>
      <c r="G54" s="164"/>
      <c r="H54" s="165">
        <f>IF(G54="oui",10%,100%)</f>
        <v>1</v>
      </c>
      <c r="I54" s="111" t="s">
        <v>33</v>
      </c>
      <c r="J54" s="105">
        <f>VLOOKUP(I54,'Mode d''emploi'!$C$85:$D$96,2,FALSE)</f>
        <v>0.25</v>
      </c>
      <c r="K54" s="205"/>
      <c r="L54" s="206"/>
      <c r="M54" s="207"/>
      <c r="N54" s="135" t="str">
        <f>IF(G54="","",(F54*H54*J54))</f>
        <v/>
      </c>
      <c r="O54" s="127">
        <v>1</v>
      </c>
      <c r="P54" s="316"/>
      <c r="Q54" s="316"/>
      <c r="R54" s="316"/>
    </row>
    <row r="55" spans="1:19" ht="31.5" customHeight="1" x14ac:dyDescent="0.3">
      <c r="A55" s="268"/>
      <c r="B55" s="191" t="s">
        <v>89</v>
      </c>
      <c r="C55" s="301" t="s">
        <v>47</v>
      </c>
      <c r="D55" s="302"/>
      <c r="E55" s="100" t="s">
        <v>29</v>
      </c>
      <c r="F55" s="101">
        <f>VLOOKUP(E55,'Mode d''emploi'!$C$85:$D$96,2,FALSE)</f>
        <v>0.75</v>
      </c>
      <c r="G55" s="298">
        <v>0.5</v>
      </c>
      <c r="H55" s="298"/>
      <c r="I55" s="108" t="s">
        <v>33</v>
      </c>
      <c r="J55" s="101">
        <f>VLOOKUP(I55,'Mode d''emploi'!$C$85:$D$96,2,FALSE)</f>
        <v>0.25</v>
      </c>
      <c r="K55" s="296"/>
      <c r="L55" s="213"/>
      <c r="M55" s="297"/>
      <c r="N55" s="112">
        <f t="shared" si="1"/>
        <v>9.375E-2</v>
      </c>
      <c r="O55" s="125">
        <v>1</v>
      </c>
      <c r="P55" s="340">
        <f>SUMPRODUCT(N55:N58,O55:O58)/SUM(O55:O58)</f>
        <v>5.6250000000000008E-2</v>
      </c>
      <c r="Q55" s="340">
        <f>1-P55</f>
        <v>0.94374999999999998</v>
      </c>
      <c r="R55" s="340" t="s">
        <v>113</v>
      </c>
    </row>
    <row r="56" spans="1:19" ht="31.5" customHeight="1" x14ac:dyDescent="0.3">
      <c r="A56" s="268"/>
      <c r="B56" s="192"/>
      <c r="C56" s="313" t="s">
        <v>91</v>
      </c>
      <c r="D56" s="197"/>
      <c r="E56" s="102" t="s">
        <v>29</v>
      </c>
      <c r="F56" s="103">
        <f>VLOOKUP(E56,'Mode d''emploi'!$C$85:$D$96,2,FALSE)</f>
        <v>0.75</v>
      </c>
      <c r="G56" s="311">
        <v>0.1</v>
      </c>
      <c r="H56" s="311"/>
      <c r="I56" s="109" t="s">
        <v>33</v>
      </c>
      <c r="J56" s="103">
        <f>VLOOKUP(I56,'Mode d''emploi'!$C$85:$D$96,2,FALSE)</f>
        <v>0.25</v>
      </c>
      <c r="K56" s="200"/>
      <c r="L56" s="201"/>
      <c r="M56" s="202"/>
      <c r="N56" s="113">
        <f t="shared" si="1"/>
        <v>1.8750000000000003E-2</v>
      </c>
      <c r="O56" s="126">
        <v>1</v>
      </c>
      <c r="P56" s="316"/>
      <c r="Q56" s="316"/>
      <c r="R56" s="316"/>
    </row>
    <row r="57" spans="1:19" ht="42.6" customHeight="1" x14ac:dyDescent="0.3">
      <c r="A57" s="268"/>
      <c r="B57" s="192"/>
      <c r="C57" s="313" t="s">
        <v>48</v>
      </c>
      <c r="D57" s="197"/>
      <c r="E57" s="102" t="s">
        <v>43</v>
      </c>
      <c r="F57" s="103">
        <f>VLOOKUP(E57,'Mode d''emploi'!$C$85:$D$96,2,FALSE)</f>
        <v>1</v>
      </c>
      <c r="G57" s="311">
        <v>0.1</v>
      </c>
      <c r="H57" s="311"/>
      <c r="I57" s="109" t="s">
        <v>34</v>
      </c>
      <c r="J57" s="103">
        <f>VLOOKUP(I57,'Mode d''emploi'!$C$85:$D$96,2,FALSE)</f>
        <v>1</v>
      </c>
      <c r="K57" s="200"/>
      <c r="L57" s="201"/>
      <c r="M57" s="202"/>
      <c r="N57" s="113">
        <f t="shared" si="1"/>
        <v>0.1</v>
      </c>
      <c r="O57" s="126">
        <v>1</v>
      </c>
      <c r="P57" s="316"/>
      <c r="Q57" s="316"/>
      <c r="R57" s="316"/>
    </row>
    <row r="58" spans="1:19" ht="32.25" customHeight="1" thickBot="1" x14ac:dyDescent="0.35">
      <c r="A58" s="269"/>
      <c r="B58" s="270"/>
      <c r="C58" s="291" t="s">
        <v>126</v>
      </c>
      <c r="D58" s="292"/>
      <c r="E58" s="104" t="s">
        <v>30</v>
      </c>
      <c r="F58" s="107">
        <f>VLOOKUP(E58,'Mode d''emploi'!$C$85:$D$96,2,FALSE)</f>
        <v>0.5</v>
      </c>
      <c r="G58" s="310">
        <v>0.1</v>
      </c>
      <c r="H58" s="310"/>
      <c r="I58" s="110" t="s">
        <v>33</v>
      </c>
      <c r="J58" s="107">
        <f>VLOOKUP(I58,'Mode d''emploi'!$C$85:$D$96,2,FALSE)</f>
        <v>0.25</v>
      </c>
      <c r="K58" s="293"/>
      <c r="L58" s="294"/>
      <c r="M58" s="295"/>
      <c r="N58" s="114">
        <f t="shared" si="1"/>
        <v>1.2500000000000001E-2</v>
      </c>
      <c r="O58" s="127">
        <v>1</v>
      </c>
      <c r="P58" s="341"/>
      <c r="Q58" s="341"/>
      <c r="R58" s="341"/>
    </row>
    <row r="59" spans="1:19" s="89" customFormat="1" x14ac:dyDescent="0.3">
      <c r="A59" s="88"/>
      <c r="B59" s="88"/>
      <c r="C59" s="130"/>
    </row>
  </sheetData>
  <sheetProtection selectLockedCells="1"/>
  <mergeCells count="166">
    <mergeCell ref="E1:K1"/>
    <mergeCell ref="L1:M1"/>
    <mergeCell ref="E2:K2"/>
    <mergeCell ref="L2:M2"/>
    <mergeCell ref="A4:B5"/>
    <mergeCell ref="A8:B8"/>
    <mergeCell ref="A16:B16"/>
    <mergeCell ref="A17:B17"/>
    <mergeCell ref="B19:D19"/>
    <mergeCell ref="E19:F19"/>
    <mergeCell ref="G19:H19"/>
    <mergeCell ref="I19:K19"/>
    <mergeCell ref="A10:B10"/>
    <mergeCell ref="A11:B11"/>
    <mergeCell ref="A12:B12"/>
    <mergeCell ref="A13:B13"/>
    <mergeCell ref="A14:B14"/>
    <mergeCell ref="A15:B15"/>
    <mergeCell ref="E22:F22"/>
    <mergeCell ref="G22:H22"/>
    <mergeCell ref="I22:K23"/>
    <mergeCell ref="C23:D23"/>
    <mergeCell ref="E23:F23"/>
    <mergeCell ref="G23:H23"/>
    <mergeCell ref="A20:A28"/>
    <mergeCell ref="C20:D20"/>
    <mergeCell ref="E20:F20"/>
    <mergeCell ref="G20:H20"/>
    <mergeCell ref="I20:K20"/>
    <mergeCell ref="C21:D21"/>
    <mergeCell ref="E21:F21"/>
    <mergeCell ref="G21:H21"/>
    <mergeCell ref="I21:K21"/>
    <mergeCell ref="C22:D22"/>
    <mergeCell ref="C26:D26"/>
    <mergeCell ref="E26:F26"/>
    <mergeCell ref="G26:H26"/>
    <mergeCell ref="I26:K26"/>
    <mergeCell ref="C27:D27"/>
    <mergeCell ref="E27:F27"/>
    <mergeCell ref="G27:H27"/>
    <mergeCell ref="C24:D24"/>
    <mergeCell ref="E24:F24"/>
    <mergeCell ref="G24:H24"/>
    <mergeCell ref="I24:K24"/>
    <mergeCell ref="C25:D25"/>
    <mergeCell ref="E25:F25"/>
    <mergeCell ref="G25:H25"/>
    <mergeCell ref="I25:K25"/>
    <mergeCell ref="C28:D28"/>
    <mergeCell ref="E28:F28"/>
    <mergeCell ref="G28:H28"/>
    <mergeCell ref="I28:K28"/>
    <mergeCell ref="B29:D29"/>
    <mergeCell ref="E29:F29"/>
    <mergeCell ref="G29:H29"/>
    <mergeCell ref="I29:J29"/>
    <mergeCell ref="K29:M29"/>
    <mergeCell ref="A30:A58"/>
    <mergeCell ref="B30:B37"/>
    <mergeCell ref="C30:D30"/>
    <mergeCell ref="G30:H30"/>
    <mergeCell ref="K30:M30"/>
    <mergeCell ref="C38:D38"/>
    <mergeCell ref="K38:M38"/>
    <mergeCell ref="B41:B45"/>
    <mergeCell ref="C41:D41"/>
    <mergeCell ref="G41:H41"/>
    <mergeCell ref="K41:M41"/>
    <mergeCell ref="B52:B54"/>
    <mergeCell ref="B50:B51"/>
    <mergeCell ref="B46:B49"/>
    <mergeCell ref="C46:D46"/>
    <mergeCell ref="K46:M46"/>
    <mergeCell ref="K40:M40"/>
    <mergeCell ref="C47:D47"/>
    <mergeCell ref="K47:M47"/>
    <mergeCell ref="P38:P40"/>
    <mergeCell ref="C35:D35"/>
    <mergeCell ref="G35:H35"/>
    <mergeCell ref="K35:M35"/>
    <mergeCell ref="C36:D36"/>
    <mergeCell ref="G36:H36"/>
    <mergeCell ref="K36:M36"/>
    <mergeCell ref="C39:D39"/>
    <mergeCell ref="K39:M39"/>
    <mergeCell ref="C40:D40"/>
    <mergeCell ref="P30:P37"/>
    <mergeCell ref="C31:D31"/>
    <mergeCell ref="G31:H31"/>
    <mergeCell ref="K31:M31"/>
    <mergeCell ref="C32:D32"/>
    <mergeCell ref="G32:H32"/>
    <mergeCell ref="K32:M32"/>
    <mergeCell ref="C33:D33"/>
    <mergeCell ref="G33:H33"/>
    <mergeCell ref="C37:D37"/>
    <mergeCell ref="G37:H37"/>
    <mergeCell ref="K37:M37"/>
    <mergeCell ref="K33:M33"/>
    <mergeCell ref="C34:D34"/>
    <mergeCell ref="G34:H34"/>
    <mergeCell ref="K34:M34"/>
    <mergeCell ref="R41:R45"/>
    <mergeCell ref="C42:D42"/>
    <mergeCell ref="G42:H42"/>
    <mergeCell ref="K42:M42"/>
    <mergeCell ref="C43:D43"/>
    <mergeCell ref="G43:H43"/>
    <mergeCell ref="K43:M43"/>
    <mergeCell ref="C44:D44"/>
    <mergeCell ref="G44:H44"/>
    <mergeCell ref="P41:P45"/>
    <mergeCell ref="K44:M44"/>
    <mergeCell ref="C45:D45"/>
    <mergeCell ref="G45:H45"/>
    <mergeCell ref="K45:M45"/>
    <mergeCell ref="Q41:Q45"/>
    <mergeCell ref="R38:R40"/>
    <mergeCell ref="Q30:Q37"/>
    <mergeCell ref="Q38:Q40"/>
    <mergeCell ref="R30:R37"/>
    <mergeCell ref="K48:M48"/>
    <mergeCell ref="C49:D49"/>
    <mergeCell ref="K49:M49"/>
    <mergeCell ref="K54:M54"/>
    <mergeCell ref="R50:R51"/>
    <mergeCell ref="C51:D51"/>
    <mergeCell ref="G51:H51"/>
    <mergeCell ref="K51:M51"/>
    <mergeCell ref="C52:D52"/>
    <mergeCell ref="G52:H52"/>
    <mergeCell ref="K52:M52"/>
    <mergeCell ref="P52:P54"/>
    <mergeCell ref="Q52:Q54"/>
    <mergeCell ref="C50:D50"/>
    <mergeCell ref="G50:H50"/>
    <mergeCell ref="K50:M50"/>
    <mergeCell ref="P50:P51"/>
    <mergeCell ref="Q50:Q51"/>
    <mergeCell ref="P46:P49"/>
    <mergeCell ref="Q46:Q49"/>
    <mergeCell ref="B38:B40"/>
    <mergeCell ref="R55:R58"/>
    <mergeCell ref="C56:D56"/>
    <mergeCell ref="G56:H56"/>
    <mergeCell ref="K56:M56"/>
    <mergeCell ref="C57:D57"/>
    <mergeCell ref="G57:H57"/>
    <mergeCell ref="K57:M57"/>
    <mergeCell ref="C58:D58"/>
    <mergeCell ref="G58:H58"/>
    <mergeCell ref="K58:M58"/>
    <mergeCell ref="B55:B58"/>
    <mergeCell ref="C55:D55"/>
    <mergeCell ref="G55:H55"/>
    <mergeCell ref="K55:M55"/>
    <mergeCell ref="P55:P58"/>
    <mergeCell ref="Q55:Q58"/>
    <mergeCell ref="R52:R54"/>
    <mergeCell ref="C53:D53"/>
    <mergeCell ref="G53:H53"/>
    <mergeCell ref="K53:M53"/>
    <mergeCell ref="C54:D54"/>
    <mergeCell ref="R46:R49"/>
    <mergeCell ref="C48:D48"/>
  </mergeCells>
  <conditionalFormatting sqref="C13:C17">
    <cfRule type="cellIs" dxfId="0" priority="1" operator="lessThan">
      <formula>0.9</formula>
    </cfRule>
  </conditionalFormatting>
  <pageMargins left="0.23622047244094491" right="0.23622047244094491" top="0.74803149606299213" bottom="0.74803149606299213" header="0.31496062992125984" footer="0.31496062992125984"/>
  <pageSetup paperSize="9" scale="35" orientation="portrait" r:id="rId1"/>
  <headerFooter>
    <oddFooter>&amp;LAC48/G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551A7DAA-B010-4C31-9886-92537C3E22C4}">
          <x14:formula1>
            <xm:f>'menu déroulant'!$K$3:$K$5</xm:f>
          </x14:formula1>
          <xm:sqref>G40</xm:sqref>
        </x14:dataValidation>
        <x14:dataValidation type="list" allowBlank="1" showInputMessage="1" showErrorMessage="1" xr:uid="{11138693-A022-4573-9B65-0ABAA1347870}">
          <x14:formula1>
            <xm:f>'menu déroulant'!$J$3:$J$4</xm:f>
          </x14:formula1>
          <xm:sqref>G54 G39</xm:sqref>
        </x14:dataValidation>
        <x14:dataValidation type="list" allowBlank="1" showInputMessage="1" showErrorMessage="1" xr:uid="{8779B150-B5E6-45B2-BFE2-530E6E85FD01}">
          <x14:formula1>
            <xm:f>'menu déroulant'!$I$3:$I$6</xm:f>
          </x14:formula1>
          <xm:sqref>G38</xm:sqref>
        </x14:dataValidation>
        <x14:dataValidation type="list" allowBlank="1" showInputMessage="1" showErrorMessage="1" xr:uid="{400F4B63-CB16-4352-A666-57BA24617C9F}">
          <x14:formula1>
            <xm:f>'menu déroulant'!$F$3:$F$6</xm:f>
          </x14:formula1>
          <xm:sqref>E30:E45</xm:sqref>
        </x14:dataValidation>
        <x14:dataValidation type="list" allowBlank="1" showInputMessage="1" showErrorMessage="1" xr:uid="{D5D4243B-3FFD-41D6-8CA9-54F65B8D24D8}">
          <x14:formula1>
            <xm:f>'menu déroulant'!$G$3:$G$6</xm:f>
          </x14:formula1>
          <xm:sqref>I54 I30:I45</xm:sqref>
        </x14:dataValidation>
        <x14:dataValidation type="list" allowBlank="1" showInputMessage="1" showErrorMessage="1" xr:uid="{DD8684F4-AD93-4FBD-B54A-D3E4CB8997FC}">
          <x14:formula1>
            <xm:f>'menu déroulant'!$H$3:$H$5</xm:f>
          </x14:formula1>
          <xm:sqref>C6</xm:sqref>
        </x14:dataValidation>
        <x14:dataValidation type="list" allowBlank="1" showInputMessage="1" showErrorMessage="1" xr:uid="{59956FF4-B64A-41E3-B1E7-5076FDF2963B}">
          <x14:formula1>
            <xm:f>'menu déroulant'!$B$3:$B$11</xm:f>
          </x14:formula1>
          <xm:sqref>E28:F28</xm:sqref>
        </x14:dataValidation>
        <x14:dataValidation type="list" allowBlank="1" showInputMessage="1" showErrorMessage="1" xr:uid="{074592DA-4913-404B-9FA7-937C897F6EA8}">
          <x14:formula1>
            <xm:f>'menu déroulant'!$A$3:$A$5</xm:f>
          </x14:formula1>
          <xm:sqref>E25:F27</xm:sqref>
        </x14:dataValidation>
        <x14:dataValidation type="list" allowBlank="1" showInputMessage="1" showErrorMessage="1" xr:uid="{D5595657-8165-4D3D-B9A4-4BE9D7196A76}">
          <x14:formula1>
            <xm:f>'menu déroulant'!$E$3:$E$6</xm:f>
          </x14:formula1>
          <xm:sqref>E24:F24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showGridLines="0" zoomScale="90" zoomScaleNormal="90" zoomScaleSheetLayoutView="100" zoomScalePageLayoutView="60" workbookViewId="0">
      <selection activeCell="J21" sqref="J21"/>
    </sheetView>
  </sheetViews>
  <sheetFormatPr baseColWidth="10" defaultColWidth="11.44140625" defaultRowHeight="15" customHeight="1" x14ac:dyDescent="0.3"/>
  <cols>
    <col min="1" max="1" width="5.33203125" style="3" customWidth="1"/>
    <col min="2" max="2" width="16" style="3" customWidth="1"/>
    <col min="3" max="3" width="28.44140625" style="3" customWidth="1"/>
    <col min="4" max="4" width="12.5546875" style="3" customWidth="1"/>
    <col min="5" max="5" width="20.109375" style="3" customWidth="1"/>
    <col min="6" max="6" width="12.44140625" style="3" customWidth="1"/>
    <col min="7" max="7" width="23.5546875" style="3" customWidth="1"/>
    <col min="8" max="8" width="8.88671875" style="11" customWidth="1"/>
    <col min="9" max="9" width="19.33203125" style="11" customWidth="1"/>
    <col min="10" max="10" width="30.109375" style="11" bestFit="1" customWidth="1"/>
    <col min="11" max="11" width="19.109375" style="11" bestFit="1" customWidth="1"/>
    <col min="12" max="12" width="11.44140625" style="11" customWidth="1"/>
    <col min="13" max="15" width="11.44140625" style="3"/>
    <col min="16" max="17" width="11.44140625" style="3" customWidth="1"/>
    <col min="18" max="16384" width="11.44140625" style="3"/>
  </cols>
  <sheetData>
    <row r="1" spans="1:13" ht="38.25" customHeight="1" thickBot="1" x14ac:dyDescent="0.35">
      <c r="A1" s="370"/>
      <c r="B1" s="371"/>
      <c r="C1" s="372" t="s">
        <v>148</v>
      </c>
      <c r="D1" s="373"/>
      <c r="E1" s="374"/>
      <c r="F1" s="375">
        <f ca="1">TODAY()</f>
        <v>44572</v>
      </c>
      <c r="G1" s="374"/>
      <c r="H1" s="32"/>
      <c r="I1" s="33"/>
      <c r="J1" s="33"/>
      <c r="K1" s="33"/>
      <c r="L1" s="34"/>
    </row>
    <row r="2" spans="1:13" ht="15" customHeight="1" thickBot="1" x14ac:dyDescent="0.35">
      <c r="A2" s="27"/>
      <c r="B2" s="8"/>
      <c r="C2" s="8"/>
      <c r="D2" s="8"/>
      <c r="E2" s="8"/>
      <c r="F2" s="8"/>
      <c r="G2" s="28"/>
      <c r="H2" s="35"/>
      <c r="I2" s="36"/>
      <c r="J2" s="36"/>
      <c r="K2" s="36"/>
      <c r="L2" s="37"/>
    </row>
    <row r="3" spans="1:13" ht="15" customHeight="1" thickBot="1" x14ac:dyDescent="0.35">
      <c r="A3" s="27"/>
      <c r="B3" s="8"/>
      <c r="C3" s="8"/>
      <c r="D3" s="8"/>
      <c r="E3" s="8"/>
      <c r="F3" s="8"/>
      <c r="G3" s="28"/>
      <c r="H3" s="35"/>
      <c r="I3" s="367" t="s">
        <v>10</v>
      </c>
      <c r="J3" s="368"/>
      <c r="K3" s="369"/>
      <c r="L3" s="37"/>
    </row>
    <row r="4" spans="1:13" ht="15" customHeight="1" thickBot="1" x14ac:dyDescent="0.35">
      <c r="A4" s="27"/>
      <c r="B4" s="8"/>
      <c r="C4" s="8"/>
      <c r="D4" s="8"/>
      <c r="E4" s="8"/>
      <c r="F4" s="8"/>
      <c r="G4" s="28"/>
      <c r="H4" s="35"/>
      <c r="I4" s="36"/>
      <c r="J4" s="36"/>
      <c r="K4" s="36"/>
      <c r="L4" s="37"/>
    </row>
    <row r="5" spans="1:13" ht="15" customHeight="1" x14ac:dyDescent="0.3">
      <c r="A5" s="27"/>
      <c r="B5" s="8"/>
      <c r="C5" s="8"/>
      <c r="D5" s="8"/>
      <c r="E5" s="8"/>
      <c r="F5" s="8"/>
      <c r="G5" s="28"/>
      <c r="H5" s="35"/>
      <c r="I5" s="12" t="s">
        <v>5</v>
      </c>
      <c r="J5" s="13" t="s">
        <v>9</v>
      </c>
      <c r="K5" s="60" t="s">
        <v>44</v>
      </c>
      <c r="L5" s="37"/>
    </row>
    <row r="6" spans="1:13" ht="15" customHeight="1" x14ac:dyDescent="0.3">
      <c r="A6" s="27"/>
      <c r="B6" s="8"/>
      <c r="C6" s="8"/>
      <c r="D6" s="8"/>
      <c r="E6" s="8"/>
      <c r="F6" s="8"/>
      <c r="G6" s="28"/>
      <c r="H6" s="35"/>
      <c r="I6" s="49" t="str">
        <f>'Fournisseur A'!$E$2</f>
        <v>Fournisseur</v>
      </c>
      <c r="J6" s="70">
        <f>'Fournisseur A'!$D$4</f>
        <v>0</v>
      </c>
      <c r="K6" s="61" t="e">
        <f>'Fournisseur B'!$C$10</f>
        <v>#DIV/0!</v>
      </c>
      <c r="L6" s="37"/>
    </row>
    <row r="7" spans="1:13" ht="15" customHeight="1" x14ac:dyDescent="0.3">
      <c r="A7" s="27"/>
      <c r="B7" s="8"/>
      <c r="C7" s="8"/>
      <c r="D7" s="8"/>
      <c r="E7" s="8"/>
      <c r="F7" s="8"/>
      <c r="G7" s="28"/>
      <c r="H7" s="35"/>
      <c r="I7" s="49" t="str">
        <f>'Fournisseur B'!$E$2</f>
        <v>Fournisseur</v>
      </c>
      <c r="J7" s="70">
        <f>'Fournisseur B'!$D$4</f>
        <v>0</v>
      </c>
      <c r="K7" s="61" t="e">
        <f>'Fournisseur A'!$C$10</f>
        <v>#DIV/0!</v>
      </c>
      <c r="L7" s="37"/>
    </row>
    <row r="8" spans="1:13" ht="15" customHeight="1" x14ac:dyDescent="0.3">
      <c r="A8" s="27"/>
      <c r="B8" s="8"/>
      <c r="C8" s="8"/>
      <c r="D8" s="8"/>
      <c r="E8" s="8"/>
      <c r="F8" s="8"/>
      <c r="G8" s="28"/>
      <c r="H8" s="35"/>
      <c r="I8" s="49" t="e">
        <f>#REF!</f>
        <v>#REF!</v>
      </c>
      <c r="J8" s="143" t="e">
        <f>#REF!</f>
        <v>#REF!</v>
      </c>
      <c r="K8" s="144" t="e">
        <f>#REF!</f>
        <v>#REF!</v>
      </c>
      <c r="L8" s="37"/>
    </row>
    <row r="9" spans="1:13" ht="15" customHeight="1" x14ac:dyDescent="0.3">
      <c r="A9" s="27"/>
      <c r="B9" s="8"/>
      <c r="C9" s="8"/>
      <c r="D9" s="8"/>
      <c r="E9" s="8"/>
      <c r="F9" s="8"/>
      <c r="G9" s="28"/>
      <c r="H9" s="35"/>
      <c r="I9" s="49" t="e">
        <f>#REF!</f>
        <v>#REF!</v>
      </c>
      <c r="J9" s="143" t="e">
        <f>#REF!</f>
        <v>#REF!</v>
      </c>
      <c r="K9" s="144" t="e">
        <f>#REF!</f>
        <v>#REF!</v>
      </c>
      <c r="L9" s="37"/>
    </row>
    <row r="10" spans="1:13" ht="15" customHeight="1" x14ac:dyDescent="0.3">
      <c r="A10" s="27"/>
      <c r="B10" s="8"/>
      <c r="C10" s="8"/>
      <c r="D10" s="8"/>
      <c r="E10" s="8"/>
      <c r="F10" s="8"/>
      <c r="G10" s="28"/>
      <c r="H10" s="35"/>
      <c r="I10" s="49" t="e">
        <f>#REF!</f>
        <v>#REF!</v>
      </c>
      <c r="J10" s="143" t="e">
        <f>#REF!</f>
        <v>#REF!</v>
      </c>
      <c r="K10" s="144" t="e">
        <f>#REF!</f>
        <v>#REF!</v>
      </c>
      <c r="L10" s="37"/>
    </row>
    <row r="11" spans="1:13" ht="15" customHeight="1" thickBot="1" x14ac:dyDescent="0.35">
      <c r="A11" s="27"/>
      <c r="B11" s="8"/>
      <c r="C11" s="8"/>
      <c r="D11" s="8"/>
      <c r="E11" s="8"/>
      <c r="F11" s="8"/>
      <c r="G11" s="28"/>
      <c r="H11" s="35"/>
      <c r="I11" s="50" t="e">
        <f>#REF!</f>
        <v>#REF!</v>
      </c>
      <c r="J11" s="145" t="e">
        <f>#REF!</f>
        <v>#REF!</v>
      </c>
      <c r="K11" s="146" t="e">
        <f>#REF!</f>
        <v>#REF!</v>
      </c>
      <c r="L11" s="37"/>
    </row>
    <row r="12" spans="1:13" ht="15" customHeight="1" x14ac:dyDescent="0.3">
      <c r="A12" s="27"/>
      <c r="B12" s="8"/>
      <c r="C12" s="8"/>
      <c r="D12" s="8"/>
      <c r="E12" s="8"/>
      <c r="F12" s="8"/>
      <c r="G12" s="28"/>
      <c r="H12" s="35"/>
      <c r="I12" s="36"/>
      <c r="J12" s="36"/>
      <c r="K12" s="36"/>
      <c r="L12" s="37"/>
      <c r="M12" s="11"/>
    </row>
    <row r="13" spans="1:13" ht="15" customHeight="1" x14ac:dyDescent="0.3">
      <c r="A13" s="27"/>
      <c r="B13" s="8"/>
      <c r="C13" s="8"/>
      <c r="D13" s="8"/>
      <c r="E13" s="8"/>
      <c r="F13" s="8"/>
      <c r="G13" s="28"/>
      <c r="H13" s="35"/>
      <c r="I13" s="36"/>
      <c r="J13" s="36"/>
      <c r="K13" s="36"/>
      <c r="L13" s="37"/>
      <c r="M13" s="11"/>
    </row>
    <row r="14" spans="1:13" ht="15" customHeight="1" x14ac:dyDescent="0.3">
      <c r="A14" s="27"/>
      <c r="B14" s="8"/>
      <c r="C14" s="8"/>
      <c r="D14" s="8"/>
      <c r="E14" s="8"/>
      <c r="F14" s="8"/>
      <c r="G14" s="28"/>
      <c r="H14" s="35"/>
      <c r="I14" s="36"/>
      <c r="J14" s="36"/>
      <c r="K14" s="36"/>
      <c r="L14" s="37"/>
      <c r="M14" s="11"/>
    </row>
    <row r="15" spans="1:13" ht="15" customHeight="1" x14ac:dyDescent="0.3">
      <c r="A15" s="27"/>
      <c r="B15" s="8"/>
      <c r="C15" s="8"/>
      <c r="D15" s="8"/>
      <c r="E15" s="8"/>
      <c r="F15" s="8"/>
      <c r="G15" s="28"/>
      <c r="H15" s="35"/>
      <c r="I15" s="36"/>
      <c r="J15" s="36"/>
      <c r="K15" s="36"/>
      <c r="L15" s="37"/>
      <c r="M15" s="11"/>
    </row>
    <row r="16" spans="1:13" ht="15" customHeight="1" x14ac:dyDescent="0.3">
      <c r="A16" s="27"/>
      <c r="B16" s="8"/>
      <c r="C16" s="8"/>
      <c r="D16" s="8"/>
      <c r="E16" s="8"/>
      <c r="F16" s="8"/>
      <c r="G16" s="28"/>
      <c r="H16" s="35"/>
      <c r="I16" s="36"/>
      <c r="J16" s="36"/>
      <c r="K16" s="36"/>
      <c r="L16" s="37"/>
      <c r="M16" s="11"/>
    </row>
    <row r="17" spans="1:13" ht="15" customHeight="1" x14ac:dyDescent="0.3">
      <c r="A17" s="27"/>
      <c r="B17" s="8"/>
      <c r="C17" s="8"/>
      <c r="D17" s="8"/>
      <c r="E17" s="8"/>
      <c r="F17" s="8"/>
      <c r="G17" s="28"/>
      <c r="H17" s="35"/>
      <c r="I17" s="36"/>
      <c r="J17" s="36"/>
      <c r="K17" s="36"/>
      <c r="L17" s="37"/>
      <c r="M17" s="11"/>
    </row>
    <row r="18" spans="1:13" ht="15" customHeight="1" x14ac:dyDescent="0.3">
      <c r="A18" s="27"/>
      <c r="B18" s="8"/>
      <c r="C18" s="8"/>
      <c r="D18" s="8"/>
      <c r="E18" s="8"/>
      <c r="F18" s="8"/>
      <c r="G18" s="28"/>
      <c r="H18" s="35"/>
      <c r="I18" s="36"/>
      <c r="J18" s="36"/>
      <c r="K18" s="36"/>
      <c r="L18" s="37"/>
      <c r="M18" s="11"/>
    </row>
    <row r="19" spans="1:13" ht="15" customHeight="1" x14ac:dyDescent="0.3">
      <c r="A19" s="27"/>
      <c r="B19" s="8"/>
      <c r="C19" s="8"/>
      <c r="D19" s="8"/>
      <c r="E19" s="8"/>
      <c r="F19" s="8"/>
      <c r="G19" s="28"/>
      <c r="H19" s="35"/>
      <c r="I19" s="36"/>
      <c r="J19" s="36"/>
      <c r="K19" s="36"/>
      <c r="L19" s="37"/>
    </row>
    <row r="20" spans="1:13" ht="15" customHeight="1" x14ac:dyDescent="0.3">
      <c r="A20" s="27"/>
      <c r="B20" s="8"/>
      <c r="C20" s="8"/>
      <c r="D20" s="8"/>
      <c r="E20" s="8"/>
      <c r="F20" s="8"/>
      <c r="G20" s="28"/>
      <c r="H20" s="35"/>
      <c r="I20" s="36"/>
      <c r="J20" s="36"/>
      <c r="K20" s="36"/>
      <c r="L20" s="37"/>
    </row>
    <row r="21" spans="1:13" ht="15" customHeight="1" x14ac:dyDescent="0.3">
      <c r="A21" s="27"/>
      <c r="B21" s="8"/>
      <c r="C21" s="8"/>
      <c r="D21" s="8"/>
      <c r="E21" s="8"/>
      <c r="F21" s="8"/>
      <c r="G21" s="28"/>
      <c r="H21" s="35"/>
      <c r="I21" s="36"/>
      <c r="J21" s="36"/>
      <c r="K21" s="36"/>
      <c r="L21" s="48"/>
    </row>
    <row r="22" spans="1:13" ht="15" customHeight="1" x14ac:dyDescent="0.3">
      <c r="A22" s="27"/>
      <c r="B22" s="8"/>
      <c r="C22" s="8"/>
      <c r="D22" s="8"/>
      <c r="E22" s="8"/>
      <c r="F22" s="8"/>
      <c r="G22" s="28"/>
      <c r="H22" s="35"/>
      <c r="I22" s="36"/>
      <c r="J22" s="36"/>
      <c r="K22" s="36"/>
      <c r="L22" s="37"/>
    </row>
    <row r="23" spans="1:13" ht="15" customHeight="1" x14ac:dyDescent="0.3">
      <c r="A23" s="27"/>
      <c r="B23" s="8"/>
      <c r="C23" s="8"/>
      <c r="D23" s="8"/>
      <c r="E23" s="8"/>
      <c r="F23" s="8"/>
      <c r="G23" s="28"/>
      <c r="H23" s="35"/>
      <c r="I23" s="36"/>
      <c r="J23" s="36"/>
      <c r="K23" s="36"/>
      <c r="L23" s="37"/>
    </row>
    <row r="24" spans="1:13" ht="15" customHeight="1" x14ac:dyDescent="0.3">
      <c r="A24" s="27"/>
      <c r="B24" s="8"/>
      <c r="C24" s="8"/>
      <c r="G24" s="28"/>
      <c r="H24" s="35"/>
      <c r="I24" s="36"/>
      <c r="J24" s="36"/>
      <c r="K24" s="36"/>
      <c r="L24" s="37"/>
    </row>
    <row r="25" spans="1:13" ht="15" customHeight="1" x14ac:dyDescent="0.3">
      <c r="A25" s="27"/>
      <c r="B25" s="8"/>
      <c r="C25" s="7"/>
      <c r="D25" s="8"/>
      <c r="E25" s="8"/>
      <c r="F25" s="10"/>
      <c r="G25" s="28"/>
      <c r="H25" s="35"/>
      <c r="I25" s="36"/>
      <c r="J25" s="36"/>
      <c r="K25" s="36"/>
      <c r="L25" s="37"/>
    </row>
    <row r="26" spans="1:13" ht="15" customHeight="1" x14ac:dyDescent="0.3">
      <c r="A26" s="27"/>
      <c r="B26" s="8"/>
      <c r="C26" s="8"/>
      <c r="D26" s="8"/>
      <c r="E26" s="8"/>
      <c r="F26" s="10"/>
      <c r="G26" s="28"/>
      <c r="H26" s="38"/>
      <c r="I26" s="36"/>
      <c r="J26" s="36"/>
      <c r="K26" s="36"/>
      <c r="L26" s="37"/>
    </row>
    <row r="27" spans="1:13" ht="15" customHeight="1" x14ac:dyDescent="0.3">
      <c r="A27" s="27"/>
      <c r="B27" s="8"/>
      <c r="C27" s="8"/>
      <c r="D27" s="8"/>
      <c r="E27" s="8"/>
      <c r="F27" s="10"/>
      <c r="G27" s="28"/>
      <c r="H27" s="39"/>
      <c r="I27" s="36"/>
      <c r="J27" s="36"/>
      <c r="K27" s="36"/>
      <c r="L27" s="37"/>
    </row>
    <row r="28" spans="1:13" ht="15" customHeight="1" x14ac:dyDescent="0.3">
      <c r="A28" s="27"/>
      <c r="B28" s="8"/>
      <c r="C28" s="8"/>
      <c r="D28" s="8"/>
      <c r="E28" s="8"/>
      <c r="F28" s="10"/>
      <c r="G28" s="28"/>
      <c r="H28" s="39"/>
      <c r="I28" s="36"/>
      <c r="J28" s="36"/>
      <c r="K28" s="36"/>
      <c r="L28" s="37"/>
    </row>
    <row r="29" spans="1:13" ht="15" customHeight="1" x14ac:dyDescent="0.3">
      <c r="A29" s="27"/>
      <c r="B29" s="8"/>
      <c r="C29" s="8"/>
      <c r="D29" s="366" t="s">
        <v>6</v>
      </c>
      <c r="E29" s="366"/>
      <c r="F29" s="46"/>
      <c r="G29" s="28"/>
      <c r="H29" s="40"/>
      <c r="I29" s="36"/>
      <c r="J29" s="36"/>
      <c r="K29" s="36"/>
      <c r="L29" s="37"/>
    </row>
    <row r="30" spans="1:13" ht="15" customHeight="1" x14ac:dyDescent="0.3">
      <c r="A30" s="27"/>
      <c r="B30" s="8"/>
      <c r="C30" s="8"/>
      <c r="D30" s="9" t="s">
        <v>8</v>
      </c>
      <c r="E30" s="9" t="s">
        <v>7</v>
      </c>
      <c r="F30" s="8"/>
      <c r="G30" s="28"/>
      <c r="H30" s="40"/>
      <c r="I30" s="36"/>
      <c r="J30" s="36"/>
      <c r="K30" s="36"/>
      <c r="L30" s="37"/>
    </row>
    <row r="31" spans="1:13" ht="15" customHeight="1" x14ac:dyDescent="0.3">
      <c r="A31" s="27"/>
      <c r="B31" s="8"/>
      <c r="C31" s="8"/>
      <c r="D31" s="378"/>
      <c r="E31" s="379" t="s">
        <v>109</v>
      </c>
      <c r="F31" s="8"/>
      <c r="G31" s="28"/>
      <c r="H31" s="40"/>
      <c r="I31" s="36"/>
      <c r="J31" s="36"/>
      <c r="K31" s="36"/>
      <c r="L31" s="37"/>
    </row>
    <row r="32" spans="1:13" ht="15" customHeight="1" x14ac:dyDescent="0.3">
      <c r="A32" s="27"/>
      <c r="B32" s="8"/>
      <c r="C32" s="8"/>
      <c r="D32" s="378"/>
      <c r="E32" s="379"/>
      <c r="F32" s="8"/>
      <c r="G32" s="28"/>
      <c r="H32" s="40"/>
      <c r="I32" s="14"/>
      <c r="J32" s="14"/>
      <c r="K32" s="14"/>
      <c r="L32" s="37"/>
    </row>
    <row r="33" spans="1:12" ht="15" customHeight="1" x14ac:dyDescent="0.3">
      <c r="A33" s="27"/>
      <c r="B33" s="8"/>
      <c r="C33" s="8"/>
      <c r="D33" s="377"/>
      <c r="E33" s="376" t="s">
        <v>110</v>
      </c>
      <c r="F33" s="8"/>
      <c r="G33" s="28"/>
      <c r="H33" s="40"/>
      <c r="I33" s="14"/>
      <c r="J33" s="14"/>
      <c r="K33" s="14"/>
      <c r="L33" s="44"/>
    </row>
    <row r="34" spans="1:12" ht="15" customHeight="1" x14ac:dyDescent="0.3">
      <c r="A34" s="27"/>
      <c r="B34" s="8"/>
      <c r="C34" s="8"/>
      <c r="D34" s="377"/>
      <c r="E34" s="376"/>
      <c r="F34" s="8"/>
      <c r="G34" s="28"/>
      <c r="H34" s="40"/>
      <c r="I34" s="14"/>
      <c r="J34" s="14"/>
      <c r="K34" s="14"/>
      <c r="L34" s="44"/>
    </row>
    <row r="35" spans="1:12" ht="15" customHeight="1" x14ac:dyDescent="0.3">
      <c r="A35" s="27"/>
      <c r="B35" s="8"/>
      <c r="C35" s="8"/>
      <c r="D35" s="380"/>
      <c r="E35" s="379" t="s">
        <v>4</v>
      </c>
      <c r="F35" s="8"/>
      <c r="G35" s="28"/>
      <c r="H35" s="40"/>
      <c r="I35" s="14"/>
      <c r="J35" s="14"/>
      <c r="K35" s="14"/>
      <c r="L35" s="44"/>
    </row>
    <row r="36" spans="1:12" ht="15" customHeight="1" x14ac:dyDescent="0.3">
      <c r="A36" s="27"/>
      <c r="B36" s="8"/>
      <c r="C36" s="8"/>
      <c r="D36" s="380"/>
      <c r="E36" s="379"/>
      <c r="F36" s="8"/>
      <c r="G36" s="28"/>
      <c r="H36" s="40"/>
      <c r="I36" s="14"/>
      <c r="J36" s="14"/>
      <c r="K36" s="14"/>
      <c r="L36" s="44"/>
    </row>
    <row r="37" spans="1:12" ht="15" customHeight="1" thickBot="1" x14ac:dyDescent="0.35">
      <c r="A37" s="29"/>
      <c r="B37" s="30"/>
      <c r="C37" s="30"/>
      <c r="D37" s="30"/>
      <c r="E37" s="30"/>
      <c r="F37" s="30"/>
      <c r="G37" s="31"/>
      <c r="H37" s="41"/>
      <c r="I37" s="43"/>
      <c r="J37" s="43"/>
      <c r="K37" s="43"/>
      <c r="L37" s="45"/>
    </row>
  </sheetData>
  <sheetProtection formatColumns="0" formatRows="0" selectLockedCells="1"/>
  <mergeCells count="11">
    <mergeCell ref="E33:E34"/>
    <mergeCell ref="D33:D34"/>
    <mergeCell ref="D31:D32"/>
    <mergeCell ref="E31:E32"/>
    <mergeCell ref="D35:D36"/>
    <mergeCell ref="E35:E36"/>
    <mergeCell ref="D29:E29"/>
    <mergeCell ref="I3:K3"/>
    <mergeCell ref="A1:B1"/>
    <mergeCell ref="C1:E1"/>
    <mergeCell ref="F1:G1"/>
  </mergeCells>
  <printOptions horizontalCentered="1"/>
  <pageMargins left="0.15748031496062992" right="0.15748031496062992" top="0.94488188976377963" bottom="0.35433070866141736" header="0.31496062992125984" footer="0.31496062992125984"/>
  <pageSetup paperSize="9" orientation="portrait" r:id="rId1"/>
  <headerFooter>
    <oddHeader>&amp;L&amp;G&amp;C&amp;"+,Normal"&amp;9Outil pour le calcul des risques, la comparaison et le classement des fournisseurs
Conçu par SARK team, Master Qualité UTC 2013/2014
www.utc.fr/master-qualite, puis "Travaux" "Qualité-Management", réf n°274, janvier 2014&amp;R&amp;G</oddHeader>
    <oddFooter>&amp;LFichier : AC48_G, Onglet : {&amp;A}&amp;R&amp;P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Mode d'emploi</vt:lpstr>
      <vt:lpstr>menu déroulant</vt:lpstr>
      <vt:lpstr>Fournisseur A</vt:lpstr>
      <vt:lpstr>Fournisseur B</vt:lpstr>
      <vt:lpstr>Comparaison</vt:lpstr>
      <vt:lpstr>Adresses</vt:lpstr>
      <vt:lpstr>Fournisseur</vt:lpstr>
      <vt:lpstr>STATUT</vt:lpstr>
      <vt:lpstr>Comparaison!Zone_d_impression</vt:lpstr>
      <vt:lpstr>'Mode d''emploi'!Zone_d_impression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Cornu</dc:creator>
  <dc:description>Cet outil Excel permet de évaluer 5 fournisseurs d'un produit ou service. Il réalise de façon semi-automatique les calculs d'analyse de risques, la comparaison et le classement des fournisseurs.</dc:description>
  <cp:lastModifiedBy>Severine Gobin</cp:lastModifiedBy>
  <cp:lastPrinted>2022-01-04T15:47:54Z</cp:lastPrinted>
  <dcterms:created xsi:type="dcterms:W3CDTF">2013-11-15T09:03:38Z</dcterms:created>
  <dcterms:modified xsi:type="dcterms:W3CDTF">2022-01-11T06:59:47Z</dcterms:modified>
</cp:coreProperties>
</file>